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270" yWindow="65356" windowWidth="20970" windowHeight="9780" activeTab="2"/>
  </bookViews>
  <sheets>
    <sheet name="Welcome" sheetId="1" r:id="rId1"/>
    <sheet name="Objectives" sheetId="2" r:id="rId2"/>
    <sheet name="Data and Values" sheetId="3" r:id="rId3"/>
    <sheet name="Results " sheetId="4" r:id="rId4"/>
    <sheet name="SROI" sheetId="5" r:id="rId5"/>
    <sheet name="Assumptions" sheetId="6" r:id="rId6"/>
    <sheet name="National Data" sheetId="7" r:id="rId7"/>
    <sheet name="Look Up Tables" sheetId="8" r:id="rId8"/>
    <sheet name="Sheet1" sheetId="9" r:id="rId9"/>
  </sheets>
  <definedNames/>
  <calcPr fullCalcOnLoad="1"/>
</workbook>
</file>

<file path=xl/sharedStrings.xml><?xml version="1.0" encoding="utf-8"?>
<sst xmlns="http://schemas.openxmlformats.org/spreadsheetml/2006/main" count="385" uniqueCount="363">
  <si>
    <t>Number</t>
  </si>
  <si>
    <t>BCP -Smoking</t>
  </si>
  <si>
    <t>BCP- Alcohol</t>
  </si>
  <si>
    <t>BCP– Diet and Activity</t>
  </si>
  <si>
    <t>BCP – Emotional Wellbeing</t>
  </si>
  <si>
    <t>Total Number of BCP Clients</t>
  </si>
  <si>
    <t>% Fully achieving goals</t>
  </si>
  <si>
    <t xml:space="preserve">% Partially achieving PHP Goals </t>
  </si>
  <si>
    <t xml:space="preserve">BCP – Other </t>
  </si>
  <si>
    <t>Date at which analysed</t>
  </si>
  <si>
    <t>Assessor</t>
  </si>
  <si>
    <t xml:space="preserve">Dates of key data  </t>
  </si>
  <si>
    <t>BCP - Other</t>
  </si>
  <si>
    <t>Value per occurrence</t>
  </si>
  <si>
    <t>Total Value</t>
  </si>
  <si>
    <t>Comment</t>
  </si>
  <si>
    <t xml:space="preserve">Number of offender clients </t>
  </si>
  <si>
    <t xml:space="preserve">Signposting and other support </t>
  </si>
  <si>
    <t>OMS Costs</t>
  </si>
  <si>
    <t xml:space="preserve"> </t>
  </si>
  <si>
    <t xml:space="preserve">Table 1 Social Impact Matrix for Health Trainer Services </t>
  </si>
  <si>
    <t xml:space="preserve">        Objectives</t>
  </si>
  <si>
    <t xml:space="preserve"> Stakeholders</t>
  </si>
  <si>
    <t>Improve health  wellbeing  and care</t>
  </si>
  <si>
    <t>Reduce inequality in health and other fields</t>
  </si>
  <si>
    <t>Reach “hard to reach” groups and build social capital</t>
  </si>
  <si>
    <t>Improve access to and uptake of services</t>
  </si>
  <si>
    <t>Improve value for</t>
  </si>
  <si>
    <t xml:space="preserve"> money</t>
  </si>
  <si>
    <t>NHS</t>
  </si>
  <si>
    <t>Improved health status and wellbeing</t>
  </si>
  <si>
    <t>Improved   self care</t>
  </si>
  <si>
    <t>Improved access for those with greatest needs</t>
  </si>
  <si>
    <t>Improved access for hard to reach</t>
  </si>
  <si>
    <t>Self help groups</t>
  </si>
  <si>
    <t>Improved use of NHS services</t>
  </si>
  <si>
    <t xml:space="preserve">Including HTS </t>
  </si>
  <si>
    <t xml:space="preserve"> Reduced NHS costs and load on other services</t>
  </si>
  <si>
    <t>Local Authorities</t>
  </si>
  <si>
    <t xml:space="preserve">Improved community wellbeing </t>
  </si>
  <si>
    <t>Improved focus on disadvantage</t>
  </si>
  <si>
    <t>Empowered communities Social capital Volunteering</t>
  </si>
  <si>
    <t>Better use of other local services and support</t>
  </si>
  <si>
    <t>Reduced social support costs</t>
  </si>
  <si>
    <t>Offender Management Services</t>
  </si>
  <si>
    <t xml:space="preserve"> Offender health and wellbeing    </t>
  </si>
  <si>
    <t>Reduced crime dependency</t>
  </si>
  <si>
    <t>Offender and community contact</t>
  </si>
  <si>
    <t>Links to NHS/ community services</t>
  </si>
  <si>
    <t xml:space="preserve">Reduced   costs of crime </t>
  </si>
  <si>
    <t>Clients</t>
  </si>
  <si>
    <t xml:space="preserve">Control of   life choices </t>
  </si>
  <si>
    <t>Talking to someone like me</t>
  </si>
  <si>
    <t>Contact, Links and support</t>
  </si>
  <si>
    <t>Direction to relevant services</t>
  </si>
  <si>
    <t>Reduced  costs of illness</t>
  </si>
  <si>
    <t>Community hosts + Health Trainers and Champions</t>
  </si>
  <si>
    <t>Personal health and wellbeing</t>
  </si>
  <si>
    <t>Improved community health</t>
  </si>
  <si>
    <t>Employment and skills development</t>
  </si>
  <si>
    <t>Links with community services</t>
  </si>
  <si>
    <t>Route into Qualification and Work</t>
  </si>
  <si>
    <t>Rent</t>
  </si>
  <si>
    <t>Table 2: Indicators of HTS Outcomes</t>
  </si>
  <si>
    <t>1 NHS</t>
  </si>
  <si>
    <r>
      <t>·</t>
    </r>
    <r>
      <rPr>
        <sz val="7"/>
        <rFont val="Times New Roman"/>
        <family val="1"/>
      </rPr>
      <t xml:space="preserve">         </t>
    </r>
    <r>
      <rPr>
        <b/>
        <sz val="11"/>
        <rFont val="Arial"/>
        <family val="2"/>
      </rPr>
      <t xml:space="preserve">Improved health status </t>
    </r>
    <r>
      <rPr>
        <sz val="11"/>
        <rFont val="Arial"/>
        <family val="2"/>
      </rPr>
      <t>indicated by</t>
    </r>
  </si>
  <si>
    <r>
      <t>o</t>
    </r>
    <r>
      <rPr>
        <sz val="7"/>
        <rFont val="Times New Roman"/>
        <family val="1"/>
      </rPr>
      <t xml:space="preserve">        </t>
    </r>
    <r>
      <rPr>
        <sz val="11"/>
        <rFont val="Arial"/>
        <family val="2"/>
      </rPr>
      <t>Number of clients achieving or partially achieving PHP goals by field of change</t>
    </r>
  </si>
  <si>
    <r>
      <t>·</t>
    </r>
    <r>
      <rPr>
        <sz val="7"/>
        <rFont val="Times New Roman"/>
        <family val="1"/>
      </rPr>
      <t xml:space="preserve">         </t>
    </r>
    <r>
      <rPr>
        <b/>
        <sz val="11"/>
        <rFont val="Arial"/>
        <family val="2"/>
      </rPr>
      <t>Well being</t>
    </r>
    <r>
      <rPr>
        <sz val="11"/>
        <rFont val="Arial"/>
        <family val="2"/>
      </rPr>
      <t xml:space="preserve">, indicated by </t>
    </r>
  </si>
  <si>
    <r>
      <t>o</t>
    </r>
    <r>
      <rPr>
        <sz val="7"/>
        <rFont val="Times New Roman"/>
        <family val="1"/>
      </rPr>
      <t xml:space="preserve">        </t>
    </r>
    <r>
      <rPr>
        <sz val="11"/>
        <rFont val="Arial"/>
        <family val="2"/>
      </rPr>
      <t>Number of clients showing improvement on WHO-5 well being index</t>
    </r>
  </si>
  <si>
    <r>
      <t>o</t>
    </r>
    <r>
      <rPr>
        <sz val="7"/>
        <rFont val="Times New Roman"/>
        <family val="1"/>
      </rPr>
      <t xml:space="preserve">        </t>
    </r>
    <r>
      <rPr>
        <sz val="11"/>
        <rFont val="Arial"/>
        <family val="2"/>
      </rPr>
      <t>Number of clients showing improvement on General Health scale</t>
    </r>
  </si>
  <si>
    <r>
      <t>·</t>
    </r>
    <r>
      <rPr>
        <sz val="7"/>
        <rFont val="Times New Roman"/>
        <family val="1"/>
      </rPr>
      <t xml:space="preserve">         </t>
    </r>
    <r>
      <rPr>
        <b/>
        <sz val="11"/>
        <rFont val="Arial"/>
        <family val="2"/>
      </rPr>
      <t>Self care</t>
    </r>
    <r>
      <rPr>
        <sz val="11"/>
        <rFont val="Arial"/>
        <family val="2"/>
      </rPr>
      <t>, indicated by</t>
    </r>
  </si>
  <si>
    <r>
      <t>o</t>
    </r>
    <r>
      <rPr>
        <sz val="7"/>
        <rFont val="Times New Roman"/>
        <family val="1"/>
      </rPr>
      <t xml:space="preserve">        </t>
    </r>
    <r>
      <rPr>
        <sz val="11"/>
        <rFont val="Arial"/>
        <family val="2"/>
      </rPr>
      <t>Number of client showing improved Self Efficacy scores</t>
    </r>
  </si>
  <si>
    <r>
      <t>o</t>
    </r>
    <r>
      <rPr>
        <sz val="7"/>
        <rFont val="Times New Roman"/>
        <family val="1"/>
      </rPr>
      <t xml:space="preserve">        </t>
    </r>
    <r>
      <rPr>
        <sz val="11"/>
        <rFont val="Arial"/>
        <family val="2"/>
      </rPr>
      <t>Persistence of PHP goals after 1 year</t>
    </r>
  </si>
  <si>
    <r>
      <t>·</t>
    </r>
    <r>
      <rPr>
        <sz val="7"/>
        <rFont val="Times New Roman"/>
        <family val="1"/>
      </rPr>
      <t xml:space="preserve">         </t>
    </r>
    <r>
      <rPr>
        <b/>
        <sz val="11"/>
        <rFont val="Arial"/>
        <family val="2"/>
      </rPr>
      <t xml:space="preserve">Reduced Health Inequality, </t>
    </r>
    <r>
      <rPr>
        <sz val="11"/>
        <rFont val="Arial"/>
        <family val="2"/>
      </rPr>
      <t>indicated by</t>
    </r>
  </si>
  <si>
    <r>
      <t>o</t>
    </r>
    <r>
      <rPr>
        <sz val="7"/>
        <rFont val="Times New Roman"/>
        <family val="1"/>
      </rPr>
      <t xml:space="preserve">        </t>
    </r>
    <r>
      <rPr>
        <sz val="11"/>
        <rFont val="Arial"/>
        <family val="2"/>
      </rPr>
      <t xml:space="preserve">Percentage of clients from most deprived IMD postcode areas </t>
    </r>
  </si>
  <si>
    <r>
      <t>·</t>
    </r>
    <r>
      <rPr>
        <sz val="7"/>
        <rFont val="Times New Roman"/>
        <family val="1"/>
      </rPr>
      <t xml:space="preserve">         </t>
    </r>
    <r>
      <rPr>
        <b/>
        <sz val="11"/>
        <rFont val="Arial"/>
        <family val="2"/>
      </rPr>
      <t>Improved access for hard to reach groups,</t>
    </r>
    <r>
      <rPr>
        <sz val="11"/>
        <rFont val="Arial"/>
        <family val="2"/>
      </rPr>
      <t xml:space="preserve"> indicated by</t>
    </r>
  </si>
  <si>
    <r>
      <t>o</t>
    </r>
    <r>
      <rPr>
        <sz val="7"/>
        <rFont val="Times New Roman"/>
        <family val="1"/>
      </rPr>
      <t xml:space="preserve">        </t>
    </r>
    <r>
      <rPr>
        <sz val="11"/>
        <rFont val="Arial"/>
        <family val="2"/>
      </rPr>
      <t>Number of clients from hard to reach groups</t>
    </r>
  </si>
  <si>
    <r>
      <t>·</t>
    </r>
    <r>
      <rPr>
        <sz val="7"/>
        <rFont val="Times New Roman"/>
        <family val="1"/>
      </rPr>
      <t xml:space="preserve">         </t>
    </r>
    <r>
      <rPr>
        <b/>
        <sz val="11"/>
        <rFont val="Arial"/>
        <family val="2"/>
      </rPr>
      <t>Community Engagement</t>
    </r>
  </si>
  <si>
    <r>
      <t>o</t>
    </r>
    <r>
      <rPr>
        <sz val="7"/>
        <rFont val="Times New Roman"/>
        <family val="1"/>
      </rPr>
      <t xml:space="preserve">        </t>
    </r>
    <r>
      <rPr>
        <sz val="11"/>
        <rFont val="Arial"/>
        <family val="2"/>
      </rPr>
      <t>Mapping of and contact with groups</t>
    </r>
  </si>
  <si>
    <r>
      <t>o</t>
    </r>
    <r>
      <rPr>
        <sz val="7"/>
        <rFont val="Times New Roman"/>
        <family val="1"/>
      </rPr>
      <t xml:space="preserve">        </t>
    </r>
    <r>
      <rPr>
        <sz val="11"/>
        <rFont val="Arial"/>
        <family val="2"/>
      </rPr>
      <t>Participation in events</t>
    </r>
  </si>
  <si>
    <r>
      <t>·</t>
    </r>
    <r>
      <rPr>
        <sz val="7"/>
        <rFont val="Times New Roman"/>
        <family val="1"/>
      </rPr>
      <t xml:space="preserve">         </t>
    </r>
    <r>
      <rPr>
        <b/>
        <sz val="11"/>
        <rFont val="Arial"/>
        <family val="2"/>
      </rPr>
      <t>Self help groups</t>
    </r>
  </si>
  <si>
    <r>
      <t>o</t>
    </r>
    <r>
      <rPr>
        <sz val="7"/>
        <rFont val="Times New Roman"/>
        <family val="1"/>
      </rPr>
      <t xml:space="preserve">        </t>
    </r>
    <r>
      <rPr>
        <sz val="11"/>
        <rFont val="Arial"/>
        <family val="2"/>
      </rPr>
      <t>Number of clients joining or forming self help groups</t>
    </r>
  </si>
  <si>
    <r>
      <t>·</t>
    </r>
    <r>
      <rPr>
        <sz val="7"/>
        <rFont val="Times New Roman"/>
        <family val="1"/>
      </rPr>
      <t xml:space="preserve">         </t>
    </r>
    <r>
      <rPr>
        <b/>
        <sz val="11"/>
        <rFont val="Arial"/>
        <family val="2"/>
      </rPr>
      <t xml:space="preserve">Improved direction and use of NHS services, </t>
    </r>
    <r>
      <rPr>
        <sz val="11"/>
        <rFont val="Arial"/>
        <family val="2"/>
      </rPr>
      <t>indicated by</t>
    </r>
  </si>
  <si>
    <r>
      <t>o</t>
    </r>
    <r>
      <rPr>
        <sz val="7"/>
        <rFont val="Times New Roman"/>
        <family val="1"/>
      </rPr>
      <t xml:space="preserve">        </t>
    </r>
    <r>
      <rPr>
        <sz val="11"/>
        <rFont val="Arial"/>
        <family val="2"/>
      </rPr>
      <t>Number of clients directed to appropriate NHS services</t>
    </r>
  </si>
  <si>
    <r>
      <t>o</t>
    </r>
    <r>
      <rPr>
        <sz val="7"/>
        <rFont val="Times New Roman"/>
        <family val="1"/>
      </rPr>
      <t xml:space="preserve">        </t>
    </r>
    <r>
      <rPr>
        <sz val="11"/>
        <rFont val="Arial"/>
        <family val="2"/>
      </rPr>
      <t>Quality of HTS Management</t>
    </r>
  </si>
  <si>
    <r>
      <t>·</t>
    </r>
    <r>
      <rPr>
        <sz val="7"/>
        <rFont val="Times New Roman"/>
        <family val="1"/>
      </rPr>
      <t xml:space="preserve">         </t>
    </r>
    <r>
      <rPr>
        <b/>
        <sz val="11"/>
        <rFont val="Arial"/>
        <family val="2"/>
      </rPr>
      <t>Cost saving,</t>
    </r>
    <r>
      <rPr>
        <sz val="11"/>
        <rFont val="Arial"/>
        <family val="2"/>
      </rPr>
      <t xml:space="preserve"> indicated by</t>
    </r>
  </si>
  <si>
    <r>
      <t>o</t>
    </r>
    <r>
      <rPr>
        <sz val="7"/>
        <rFont val="Times New Roman"/>
        <family val="1"/>
      </rPr>
      <t xml:space="preserve">        </t>
    </r>
    <r>
      <rPr>
        <sz val="11"/>
        <rFont val="Arial"/>
        <family val="2"/>
      </rPr>
      <t xml:space="preserve">Long term saving from health status improvements </t>
    </r>
  </si>
  <si>
    <r>
      <t>o</t>
    </r>
    <r>
      <rPr>
        <sz val="7"/>
        <rFont val="Times New Roman"/>
        <family val="1"/>
      </rPr>
      <t xml:space="preserve">        </t>
    </r>
    <r>
      <rPr>
        <sz val="11"/>
        <rFont val="Arial"/>
        <family val="2"/>
      </rPr>
      <t xml:space="preserve">Reductions in demand for and hence cost of other services </t>
    </r>
  </si>
  <si>
    <t xml:space="preserve">2 Local Authorities </t>
  </si>
  <si>
    <r>
      <t>·</t>
    </r>
    <r>
      <rPr>
        <sz val="7"/>
        <rFont val="Times New Roman"/>
        <family val="1"/>
      </rPr>
      <t xml:space="preserve">         </t>
    </r>
    <r>
      <rPr>
        <b/>
        <sz val="11"/>
        <rFont val="Arial"/>
        <family val="2"/>
      </rPr>
      <t xml:space="preserve">Improved community social wellbeing, </t>
    </r>
    <r>
      <rPr>
        <sz val="11"/>
        <rFont val="Arial"/>
        <family val="2"/>
      </rPr>
      <t xml:space="preserve">indicated by </t>
    </r>
  </si>
  <si>
    <r>
      <t>o</t>
    </r>
    <r>
      <rPr>
        <sz val="7"/>
        <rFont val="Times New Roman"/>
        <family val="1"/>
      </rPr>
      <t xml:space="preserve">        </t>
    </r>
    <r>
      <rPr>
        <sz val="11"/>
        <rFont val="Arial"/>
        <family val="2"/>
      </rPr>
      <t>Number of events and projects between community groups and health trainers</t>
    </r>
  </si>
  <si>
    <r>
      <t>·</t>
    </r>
    <r>
      <rPr>
        <sz val="7"/>
        <rFont val="Times New Roman"/>
        <family val="1"/>
      </rPr>
      <t xml:space="preserve">         </t>
    </r>
    <r>
      <rPr>
        <b/>
        <sz val="11"/>
        <rFont val="Arial"/>
        <family val="2"/>
      </rPr>
      <t>Improved focus on disadvantage</t>
    </r>
    <r>
      <rPr>
        <sz val="11"/>
        <rFont val="Arial"/>
        <family val="2"/>
      </rPr>
      <t>, indicated by</t>
    </r>
  </si>
  <si>
    <r>
      <t>o</t>
    </r>
    <r>
      <rPr>
        <sz val="7"/>
        <rFont val="Times New Roman"/>
        <family val="1"/>
      </rPr>
      <t xml:space="preserve">        </t>
    </r>
    <r>
      <rPr>
        <sz val="11"/>
        <rFont val="Arial"/>
        <family val="2"/>
      </rPr>
      <t>Extent of joint working between LA and HA in disadvantage supported by HTS</t>
    </r>
  </si>
  <si>
    <r>
      <t>·</t>
    </r>
    <r>
      <rPr>
        <sz val="7"/>
        <rFont val="Times New Roman"/>
        <family val="1"/>
      </rPr>
      <t xml:space="preserve">         </t>
    </r>
    <r>
      <rPr>
        <b/>
        <sz val="11"/>
        <rFont val="Arial"/>
        <family val="2"/>
      </rPr>
      <t>Empowered and active communities</t>
    </r>
    <r>
      <rPr>
        <sz val="11"/>
        <rFont val="Arial"/>
        <family val="2"/>
      </rPr>
      <t>, indicated by</t>
    </r>
  </si>
  <si>
    <r>
      <t>o</t>
    </r>
    <r>
      <rPr>
        <sz val="7"/>
        <rFont val="Times New Roman"/>
        <family val="1"/>
      </rPr>
      <t xml:space="preserve">        </t>
    </r>
    <r>
      <rPr>
        <sz val="11"/>
        <rFont val="Arial"/>
        <family val="2"/>
      </rPr>
      <t>HTS generated representation of community groups on NHS, LA or other</t>
    </r>
  </si>
  <si>
    <r>
      <t>·</t>
    </r>
    <r>
      <rPr>
        <sz val="7"/>
        <rFont val="Times New Roman"/>
        <family val="1"/>
      </rPr>
      <t xml:space="preserve">         </t>
    </r>
    <r>
      <rPr>
        <b/>
        <sz val="11"/>
        <rFont val="Arial"/>
        <family val="2"/>
      </rPr>
      <t>Social Capital</t>
    </r>
    <r>
      <rPr>
        <sz val="11"/>
        <rFont val="Arial"/>
        <family val="2"/>
      </rPr>
      <t>, indicated by</t>
    </r>
  </si>
  <si>
    <r>
      <t>o</t>
    </r>
    <r>
      <rPr>
        <sz val="7"/>
        <rFont val="Times New Roman"/>
        <family val="1"/>
      </rPr>
      <t xml:space="preserve">        </t>
    </r>
    <r>
      <rPr>
        <sz val="11"/>
        <rFont val="Arial"/>
        <family val="2"/>
      </rPr>
      <t>Bonding – extent to which HT projects reinforce other community ties</t>
    </r>
  </si>
  <si>
    <r>
      <t>o</t>
    </r>
    <r>
      <rPr>
        <sz val="7"/>
        <rFont val="Times New Roman"/>
        <family val="1"/>
      </rPr>
      <t xml:space="preserve">        </t>
    </r>
    <r>
      <rPr>
        <sz val="11"/>
        <rFont val="Arial"/>
        <family val="2"/>
      </rPr>
      <t>Linking – extent of signposting within the voluntary/community sector</t>
    </r>
  </si>
  <si>
    <r>
      <t>o</t>
    </r>
    <r>
      <rPr>
        <sz val="7"/>
        <rFont val="Times New Roman"/>
        <family val="1"/>
      </rPr>
      <t xml:space="preserve">        </t>
    </r>
    <r>
      <rPr>
        <sz val="11"/>
        <rFont val="Arial"/>
        <family val="2"/>
      </rPr>
      <t>Bridging -  HT generated activities engaging hard to reach groups</t>
    </r>
  </si>
  <si>
    <r>
      <t>·</t>
    </r>
    <r>
      <rPr>
        <sz val="7"/>
        <rFont val="Times New Roman"/>
        <family val="1"/>
      </rPr>
      <t xml:space="preserve">         </t>
    </r>
    <r>
      <rPr>
        <b/>
        <sz val="11"/>
        <rFont val="Arial"/>
        <family val="2"/>
      </rPr>
      <t>Volunteering</t>
    </r>
    <r>
      <rPr>
        <sz val="11"/>
        <rFont val="Arial"/>
        <family val="2"/>
      </rPr>
      <t>, indicated by</t>
    </r>
  </si>
  <si>
    <r>
      <t>o</t>
    </r>
    <r>
      <rPr>
        <sz val="7"/>
        <rFont val="Times New Roman"/>
        <family val="1"/>
      </rPr>
      <t xml:space="preserve">        </t>
    </r>
    <r>
      <rPr>
        <sz val="11"/>
        <rFont val="Arial"/>
        <family val="2"/>
      </rPr>
      <t>Number of Health Champions and other volunteers generated</t>
    </r>
  </si>
  <si>
    <r>
      <t>·</t>
    </r>
    <r>
      <rPr>
        <sz val="7"/>
        <rFont val="Times New Roman"/>
        <family val="1"/>
      </rPr>
      <t xml:space="preserve">         </t>
    </r>
    <r>
      <rPr>
        <b/>
        <sz val="11"/>
        <rFont val="Arial"/>
        <family val="2"/>
      </rPr>
      <t>Better use of local services and support systems</t>
    </r>
  </si>
  <si>
    <r>
      <t>o</t>
    </r>
    <r>
      <rPr>
        <sz val="7"/>
        <rFont val="Times New Roman"/>
        <family val="1"/>
      </rPr>
      <t xml:space="preserve">        </t>
    </r>
    <r>
      <rPr>
        <sz val="11"/>
        <rFont val="Arial"/>
        <family val="2"/>
      </rPr>
      <t xml:space="preserve">Number of clients directed to local services </t>
    </r>
  </si>
  <si>
    <r>
      <t>·</t>
    </r>
    <r>
      <rPr>
        <sz val="7"/>
        <rFont val="Times New Roman"/>
        <family val="1"/>
      </rPr>
      <t xml:space="preserve">         </t>
    </r>
    <r>
      <rPr>
        <b/>
        <sz val="11"/>
        <rFont val="Arial"/>
        <family val="2"/>
      </rPr>
      <t>Reduced social support costs</t>
    </r>
    <r>
      <rPr>
        <sz val="11"/>
        <rFont val="Arial"/>
        <family val="2"/>
      </rPr>
      <t>, indicated by</t>
    </r>
  </si>
  <si>
    <r>
      <t>o</t>
    </r>
    <r>
      <rPr>
        <sz val="7"/>
        <rFont val="Times New Roman"/>
        <family val="1"/>
      </rPr>
      <t xml:space="preserve">        </t>
    </r>
    <r>
      <rPr>
        <sz val="11"/>
        <rFont val="Arial"/>
        <family val="2"/>
      </rPr>
      <t>Extent to which HTS contribute to reducing social support costs</t>
    </r>
  </si>
  <si>
    <t>3 Offender Management Services</t>
  </si>
  <si>
    <r>
      <t>·</t>
    </r>
    <r>
      <rPr>
        <sz val="7"/>
        <rFont val="Times New Roman"/>
        <family val="1"/>
      </rPr>
      <t xml:space="preserve">         </t>
    </r>
    <r>
      <rPr>
        <b/>
        <sz val="11"/>
        <rFont val="Arial"/>
        <family val="2"/>
      </rPr>
      <t>Access to the 7 pathways to reduce risks of reoffending</t>
    </r>
    <r>
      <rPr>
        <sz val="11"/>
        <rFont val="Arial"/>
        <family val="2"/>
      </rPr>
      <t>, indicated by</t>
    </r>
  </si>
  <si>
    <r>
      <t>o</t>
    </r>
    <r>
      <rPr>
        <sz val="7"/>
        <rFont val="Times New Roman"/>
        <family val="1"/>
      </rPr>
      <t xml:space="preserve">        </t>
    </r>
    <r>
      <rPr>
        <sz val="11"/>
        <rFont val="Arial"/>
        <family val="2"/>
      </rPr>
      <t xml:space="preserve">Number of clients enrolled </t>
    </r>
  </si>
  <si>
    <r>
      <t>·</t>
    </r>
    <r>
      <rPr>
        <sz val="7"/>
        <rFont val="Times New Roman"/>
        <family val="1"/>
      </rPr>
      <t xml:space="preserve">         </t>
    </r>
    <r>
      <rPr>
        <b/>
        <sz val="11"/>
        <rFont val="Arial"/>
        <family val="2"/>
      </rPr>
      <t>Reduced crime dependency</t>
    </r>
    <r>
      <rPr>
        <sz val="11"/>
        <rFont val="Arial"/>
        <family val="2"/>
      </rPr>
      <t>, indicated by</t>
    </r>
  </si>
  <si>
    <r>
      <t>o</t>
    </r>
    <r>
      <rPr>
        <sz val="7"/>
        <rFont val="Times New Roman"/>
        <family val="1"/>
      </rPr>
      <t xml:space="preserve">        </t>
    </r>
    <r>
      <rPr>
        <sz val="11"/>
        <rFont val="Arial"/>
        <family val="2"/>
      </rPr>
      <t xml:space="preserve">Self Efficacy scores for offenders </t>
    </r>
  </si>
  <si>
    <r>
      <t>·</t>
    </r>
    <r>
      <rPr>
        <sz val="7"/>
        <rFont val="Times New Roman"/>
        <family val="1"/>
      </rPr>
      <t xml:space="preserve">         </t>
    </r>
    <r>
      <rPr>
        <b/>
        <sz val="11"/>
        <rFont val="Arial"/>
        <family val="2"/>
      </rPr>
      <t>Personal development,</t>
    </r>
    <r>
      <rPr>
        <sz val="11"/>
        <rFont val="Arial"/>
        <family val="2"/>
      </rPr>
      <t xml:space="preserve"> indicated by</t>
    </r>
  </si>
  <si>
    <r>
      <t>o</t>
    </r>
    <r>
      <rPr>
        <sz val="7"/>
        <rFont val="Times New Roman"/>
        <family val="1"/>
      </rPr>
      <t xml:space="preserve">        </t>
    </r>
    <r>
      <rPr>
        <sz val="11"/>
        <rFont val="Arial"/>
        <family val="2"/>
      </rPr>
      <t>Number of HTs seeking and gaining level 2 and level 3 qualifications</t>
    </r>
  </si>
  <si>
    <r>
      <t>·</t>
    </r>
    <r>
      <rPr>
        <sz val="7"/>
        <rFont val="Times New Roman"/>
        <family val="1"/>
      </rPr>
      <t xml:space="preserve">         </t>
    </r>
    <r>
      <rPr>
        <b/>
        <sz val="11"/>
        <rFont val="Arial"/>
        <family val="2"/>
      </rPr>
      <t>Links to NHS or other Community Services</t>
    </r>
    <r>
      <rPr>
        <sz val="11"/>
        <rFont val="Arial"/>
        <family val="2"/>
      </rPr>
      <t>, indicated by</t>
    </r>
  </si>
  <si>
    <r>
      <t>o</t>
    </r>
    <r>
      <rPr>
        <sz val="7"/>
        <rFont val="Times New Roman"/>
        <family val="1"/>
      </rPr>
      <t xml:space="preserve">        </t>
    </r>
    <r>
      <rPr>
        <sz val="11"/>
        <rFont val="Arial"/>
        <family val="2"/>
      </rPr>
      <t>Number of clients directed to services (and if possible number contacting them)</t>
    </r>
  </si>
  <si>
    <r>
      <t>·</t>
    </r>
    <r>
      <rPr>
        <sz val="7"/>
        <rFont val="Times New Roman"/>
        <family val="1"/>
      </rPr>
      <t xml:space="preserve">         </t>
    </r>
    <r>
      <rPr>
        <b/>
        <sz val="11"/>
        <rFont val="Arial"/>
        <family val="2"/>
      </rPr>
      <t>Reduced Reoffending</t>
    </r>
    <r>
      <rPr>
        <sz val="11"/>
        <rFont val="Arial"/>
        <family val="2"/>
      </rPr>
      <t>, indicated by</t>
    </r>
  </si>
  <si>
    <r>
      <t>o</t>
    </r>
    <r>
      <rPr>
        <sz val="7"/>
        <rFont val="Times New Roman"/>
        <family val="1"/>
      </rPr>
      <t xml:space="preserve">        </t>
    </r>
    <r>
      <rPr>
        <sz val="11"/>
        <rFont val="Arial"/>
        <family val="2"/>
      </rPr>
      <t xml:space="preserve">Estimated impact </t>
    </r>
  </si>
  <si>
    <r>
      <t>·</t>
    </r>
    <r>
      <rPr>
        <sz val="7"/>
        <rFont val="Times New Roman"/>
        <family val="1"/>
      </rPr>
      <t xml:space="preserve">            </t>
    </r>
    <r>
      <rPr>
        <b/>
        <sz val="11"/>
        <rFont val="Arial"/>
        <family val="2"/>
      </rPr>
      <t>Reduced costs,</t>
    </r>
    <r>
      <rPr>
        <sz val="11"/>
        <rFont val="Arial"/>
        <family val="2"/>
      </rPr>
      <t xml:space="preserve"> indicated by</t>
    </r>
  </si>
  <si>
    <r>
      <t>o</t>
    </r>
    <r>
      <rPr>
        <sz val="7"/>
        <rFont val="Times New Roman"/>
        <family val="1"/>
      </rPr>
      <t xml:space="preserve">     </t>
    </r>
    <r>
      <rPr>
        <sz val="11"/>
        <rFont val="Arial"/>
        <family val="2"/>
      </rPr>
      <t>Reduced cost to Criminal Justice System</t>
    </r>
  </si>
  <si>
    <r>
      <t>o</t>
    </r>
    <r>
      <rPr>
        <sz val="7"/>
        <rFont val="Times New Roman"/>
        <family val="1"/>
      </rPr>
      <t xml:space="preserve">     </t>
    </r>
    <r>
      <rPr>
        <sz val="11"/>
        <rFont val="Arial"/>
        <family val="2"/>
      </rPr>
      <t>Reduce cost of crime to society</t>
    </r>
  </si>
  <si>
    <t xml:space="preserve">  </t>
  </si>
  <si>
    <t xml:space="preserve">4  Clients </t>
  </si>
  <si>
    <r>
      <t>·</t>
    </r>
    <r>
      <rPr>
        <sz val="7"/>
        <rFont val="Times New Roman"/>
        <family val="1"/>
      </rPr>
      <t xml:space="preserve">        </t>
    </r>
    <r>
      <rPr>
        <b/>
        <sz val="11"/>
        <rFont val="Arial"/>
        <family val="2"/>
      </rPr>
      <t xml:space="preserve">Taking control of life choices, </t>
    </r>
    <r>
      <rPr>
        <sz val="11"/>
        <rFont val="Arial"/>
        <family val="2"/>
      </rPr>
      <t>indicated by</t>
    </r>
  </si>
  <si>
    <r>
      <t>o</t>
    </r>
    <r>
      <rPr>
        <sz val="7"/>
        <rFont val="Times New Roman"/>
        <family val="1"/>
      </rPr>
      <t xml:space="preserve">       </t>
    </r>
    <r>
      <rPr>
        <sz val="11"/>
        <rFont val="Arial"/>
        <family val="2"/>
      </rPr>
      <t xml:space="preserve">       Number of clients improving Self Efficacy scores</t>
    </r>
  </si>
  <si>
    <r>
      <t>·</t>
    </r>
    <r>
      <rPr>
        <sz val="7"/>
        <rFont val="Times New Roman"/>
        <family val="1"/>
      </rPr>
      <t xml:space="preserve">        </t>
    </r>
    <r>
      <rPr>
        <b/>
        <sz val="11"/>
        <rFont val="Arial"/>
        <family val="2"/>
      </rPr>
      <t>Talking to someone like me</t>
    </r>
    <r>
      <rPr>
        <sz val="11"/>
        <rFont val="Arial"/>
        <family val="2"/>
      </rPr>
      <t>, indicated by</t>
    </r>
  </si>
  <si>
    <r>
      <t>o</t>
    </r>
    <r>
      <rPr>
        <sz val="7"/>
        <rFont val="Times New Roman"/>
        <family val="1"/>
      </rPr>
      <t xml:space="preserve">       </t>
    </r>
    <r>
      <rPr>
        <sz val="11"/>
        <rFont val="Arial"/>
        <family val="2"/>
      </rPr>
      <t xml:space="preserve">       Extent to which Health Trainers and Champions reflect client group</t>
    </r>
  </si>
  <si>
    <r>
      <t>·</t>
    </r>
    <r>
      <rPr>
        <sz val="7"/>
        <rFont val="Times New Roman"/>
        <family val="1"/>
      </rPr>
      <t xml:space="preserve">        </t>
    </r>
    <r>
      <rPr>
        <b/>
        <sz val="11"/>
        <rFont val="Arial"/>
        <family val="2"/>
      </rPr>
      <t>Contact and support</t>
    </r>
    <r>
      <rPr>
        <sz val="11"/>
        <rFont val="Arial"/>
        <family val="2"/>
      </rPr>
      <t>, indicated by</t>
    </r>
  </si>
  <si>
    <r>
      <t>o</t>
    </r>
    <r>
      <rPr>
        <sz val="7"/>
        <rFont val="Times New Roman"/>
        <family val="1"/>
      </rPr>
      <t xml:space="preserve">       </t>
    </r>
    <r>
      <rPr>
        <sz val="11"/>
        <rFont val="Arial"/>
        <family val="2"/>
      </rPr>
      <t xml:space="preserve">       Number of clients and number of sessions attended</t>
    </r>
  </si>
  <si>
    <r>
      <t>o</t>
    </r>
    <r>
      <rPr>
        <sz val="7"/>
        <rFont val="Times New Roman"/>
        <family val="1"/>
      </rPr>
      <t xml:space="preserve">       </t>
    </r>
    <r>
      <rPr>
        <sz val="11"/>
        <rFont val="Arial"/>
        <family val="2"/>
      </rPr>
      <t xml:space="preserve">       Social groups and contacts formed</t>
    </r>
  </si>
  <si>
    <r>
      <t>·</t>
    </r>
    <r>
      <rPr>
        <sz val="7"/>
        <rFont val="Times New Roman"/>
        <family val="1"/>
      </rPr>
      <t xml:space="preserve">        </t>
    </r>
    <r>
      <rPr>
        <b/>
        <sz val="11"/>
        <rFont val="Arial"/>
        <family val="2"/>
      </rPr>
      <t>Direction to relevant services</t>
    </r>
    <r>
      <rPr>
        <sz val="11"/>
        <rFont val="Arial"/>
        <family val="2"/>
      </rPr>
      <t>, indicated by</t>
    </r>
  </si>
  <si>
    <r>
      <t>o</t>
    </r>
    <r>
      <rPr>
        <sz val="7"/>
        <rFont val="Times New Roman"/>
        <family val="1"/>
      </rPr>
      <t xml:space="preserve">       </t>
    </r>
    <r>
      <rPr>
        <sz val="11"/>
        <rFont val="Arial"/>
        <family val="2"/>
      </rPr>
      <t xml:space="preserve">      Number of client referrals less DNA</t>
    </r>
  </si>
  <si>
    <r>
      <t>·</t>
    </r>
    <r>
      <rPr>
        <sz val="7"/>
        <rFont val="Times New Roman"/>
        <family val="1"/>
      </rPr>
      <t xml:space="preserve">        </t>
    </r>
    <r>
      <rPr>
        <b/>
        <sz val="11"/>
        <rFont val="Arial"/>
        <family val="2"/>
      </rPr>
      <t>Reduced costs of illness</t>
    </r>
    <r>
      <rPr>
        <sz val="11"/>
        <rFont val="Arial"/>
        <family val="2"/>
      </rPr>
      <t>, indicated by</t>
    </r>
  </si>
  <si>
    <r>
      <t>o</t>
    </r>
    <r>
      <rPr>
        <sz val="7"/>
        <rFont val="Times New Roman"/>
        <family val="1"/>
      </rPr>
      <t xml:space="preserve">       </t>
    </r>
    <r>
      <rPr>
        <sz val="11"/>
        <rFont val="Arial"/>
        <family val="2"/>
      </rPr>
      <t xml:space="preserve">       Reduced costs to household of cigarettes, alcohol, junk food etc</t>
    </r>
  </si>
  <si>
    <r>
      <t>o</t>
    </r>
    <r>
      <rPr>
        <sz val="7"/>
        <rFont val="Times New Roman"/>
        <family val="1"/>
      </rPr>
      <t xml:space="preserve">       </t>
    </r>
    <r>
      <rPr>
        <sz val="11"/>
        <rFont val="Arial"/>
        <family val="2"/>
      </rPr>
      <t xml:space="preserve">       Reduced informal care costs</t>
    </r>
  </si>
  <si>
    <t>5 Community Host Organisations, Health Trainers and Health Champions</t>
  </si>
  <si>
    <r>
      <t>·</t>
    </r>
    <r>
      <rPr>
        <sz val="7"/>
        <rFont val="Times New Roman"/>
        <family val="1"/>
      </rPr>
      <t xml:space="preserve">         </t>
    </r>
    <r>
      <rPr>
        <b/>
        <sz val="11"/>
        <rFont val="Arial"/>
        <family val="2"/>
      </rPr>
      <t>Personal health and wellbeing</t>
    </r>
    <r>
      <rPr>
        <sz val="11"/>
        <rFont val="Arial"/>
        <family val="2"/>
      </rPr>
      <t>, indicated by</t>
    </r>
  </si>
  <si>
    <r>
      <t>o</t>
    </r>
    <r>
      <rPr>
        <sz val="7"/>
        <rFont val="Times New Roman"/>
        <family val="1"/>
      </rPr>
      <t xml:space="preserve">        </t>
    </r>
    <r>
      <rPr>
        <sz val="11"/>
        <rFont val="Arial"/>
        <family val="2"/>
      </rPr>
      <t>Feedback from Health Trainers and Champions (and or survey)</t>
    </r>
  </si>
  <si>
    <r>
      <t>·</t>
    </r>
    <r>
      <rPr>
        <sz val="7"/>
        <rFont val="Times New Roman"/>
        <family val="1"/>
      </rPr>
      <t xml:space="preserve">         </t>
    </r>
    <r>
      <rPr>
        <b/>
        <sz val="11"/>
        <rFont val="Arial"/>
        <family val="2"/>
      </rPr>
      <t>Improved community health</t>
    </r>
    <r>
      <rPr>
        <sz val="11"/>
        <rFont val="Arial"/>
        <family val="2"/>
      </rPr>
      <t>, indicated by</t>
    </r>
  </si>
  <si>
    <r>
      <t>o</t>
    </r>
    <r>
      <rPr>
        <sz val="7"/>
        <rFont val="Times New Roman"/>
        <family val="1"/>
      </rPr>
      <t xml:space="preserve">        </t>
    </r>
    <r>
      <rPr>
        <sz val="11"/>
        <rFont val="Arial"/>
        <family val="2"/>
      </rPr>
      <t>Value of health gain in terms of human values (which gives a threshold value)</t>
    </r>
  </si>
  <si>
    <r>
      <t>·</t>
    </r>
    <r>
      <rPr>
        <sz val="7"/>
        <rFont val="Times New Roman"/>
        <family val="1"/>
      </rPr>
      <t xml:space="preserve">         </t>
    </r>
    <r>
      <rPr>
        <b/>
        <sz val="11"/>
        <rFont val="Arial"/>
        <family val="2"/>
      </rPr>
      <t>Employment and skills development,</t>
    </r>
    <r>
      <rPr>
        <sz val="11"/>
        <rFont val="Arial"/>
        <family val="2"/>
      </rPr>
      <t xml:space="preserve"> indicated by</t>
    </r>
  </si>
  <si>
    <r>
      <t>o</t>
    </r>
    <r>
      <rPr>
        <sz val="7"/>
        <rFont val="Times New Roman"/>
        <family val="1"/>
      </rPr>
      <t xml:space="preserve">        </t>
    </r>
    <r>
      <rPr>
        <sz val="11"/>
        <rFont val="Arial"/>
        <family val="2"/>
      </rPr>
      <t>Number of trainers employed (from disadvantaged areas/ groups)</t>
    </r>
  </si>
  <si>
    <r>
      <t>o</t>
    </r>
    <r>
      <rPr>
        <sz val="7"/>
        <rFont val="Times New Roman"/>
        <family val="1"/>
      </rPr>
      <t xml:space="preserve">        </t>
    </r>
    <r>
      <rPr>
        <sz val="11"/>
        <rFont val="Arial"/>
        <family val="2"/>
      </rPr>
      <t>Number of trainers and champions gaining qualifications at level 2 and level3</t>
    </r>
  </si>
  <si>
    <r>
      <t>o</t>
    </r>
    <r>
      <rPr>
        <sz val="7"/>
        <rFont val="Times New Roman"/>
        <family val="1"/>
      </rPr>
      <t xml:space="preserve">        </t>
    </r>
    <r>
      <rPr>
        <sz val="11"/>
        <rFont val="Arial"/>
        <family val="2"/>
      </rPr>
      <t>Numbers of HTs moving on to other employment and qualifications</t>
    </r>
  </si>
  <si>
    <r>
      <t>·</t>
    </r>
    <r>
      <rPr>
        <sz val="7"/>
        <rFont val="Times New Roman"/>
        <family val="1"/>
      </rPr>
      <t xml:space="preserve">         </t>
    </r>
    <r>
      <rPr>
        <b/>
        <sz val="11"/>
        <rFont val="Arial"/>
        <family val="2"/>
      </rPr>
      <t>Links with community services</t>
    </r>
    <r>
      <rPr>
        <sz val="11"/>
        <rFont val="Arial"/>
        <family val="2"/>
      </rPr>
      <t>, indicated by</t>
    </r>
  </si>
  <si>
    <r>
      <t>o</t>
    </r>
    <r>
      <rPr>
        <sz val="7"/>
        <rFont val="Times New Roman"/>
        <family val="1"/>
      </rPr>
      <t xml:space="preserve">        </t>
    </r>
    <r>
      <rPr>
        <sz val="11"/>
        <rFont val="Arial"/>
        <family val="2"/>
      </rPr>
      <t>Local feedback</t>
    </r>
  </si>
  <si>
    <r>
      <t>·</t>
    </r>
    <r>
      <rPr>
        <sz val="7"/>
        <rFont val="Times New Roman"/>
        <family val="1"/>
      </rPr>
      <t xml:space="preserve">         </t>
    </r>
    <r>
      <rPr>
        <b/>
        <sz val="11"/>
        <rFont val="Arial"/>
        <family val="2"/>
      </rPr>
      <t>Rent and employment income</t>
    </r>
    <r>
      <rPr>
        <sz val="11"/>
        <rFont val="Arial"/>
        <family val="2"/>
      </rPr>
      <t>, indicated by</t>
    </r>
  </si>
  <si>
    <r>
      <t>o</t>
    </r>
    <r>
      <rPr>
        <sz val="7"/>
        <rFont val="Times New Roman"/>
        <family val="1"/>
      </rPr>
      <t xml:space="preserve">        </t>
    </r>
    <r>
      <rPr>
        <sz val="11"/>
        <rFont val="Arial"/>
        <family val="2"/>
      </rPr>
      <t>Payments</t>
    </r>
  </si>
  <si>
    <r>
      <t>o</t>
    </r>
    <r>
      <rPr>
        <sz val="7"/>
        <rFont val="Times New Roman"/>
        <family val="1"/>
      </rPr>
      <t xml:space="preserve">        </t>
    </r>
    <r>
      <rPr>
        <sz val="11"/>
        <rFont val="Arial"/>
        <family val="2"/>
      </rPr>
      <t>Projected benefits of qualifications</t>
    </r>
  </si>
  <si>
    <t>Note there may be other stakeholders and other impacts this is only a starting point</t>
  </si>
  <si>
    <t>Higher Value signpost</t>
  </si>
  <si>
    <t>Lower value signpost</t>
  </si>
  <si>
    <t>Higher Value Events</t>
  </si>
  <si>
    <t>Lower Value Events</t>
  </si>
  <si>
    <t>Offender clients propensity to reoffend %</t>
  </si>
  <si>
    <t>Offender clients actually  reoffending %</t>
  </si>
  <si>
    <t>Table 1                                         Total Service Cost £</t>
  </si>
  <si>
    <r>
      <t xml:space="preserve">Table 2                                  Behaviour Change Process                    </t>
    </r>
    <r>
      <rPr>
        <b/>
        <sz val="12"/>
        <color indexed="12"/>
        <rFont val="Arial"/>
        <family val="2"/>
      </rPr>
      <t xml:space="preserve">.  </t>
    </r>
    <r>
      <rPr>
        <b/>
        <sz val="12"/>
        <color indexed="9"/>
        <rFont val="Arial"/>
        <family val="2"/>
      </rPr>
      <t xml:space="preserve">  </t>
    </r>
  </si>
  <si>
    <t>Table 3                                                     Mapping, signposting                      and events</t>
  </si>
  <si>
    <t>Table 4                                      Offender Management            Services</t>
  </si>
  <si>
    <r>
      <t xml:space="preserve">Table 1                                 Results of Applying Assumptions to Your Data                   </t>
    </r>
    <r>
      <rPr>
        <b/>
        <sz val="12"/>
        <color indexed="12"/>
        <rFont val="Arial"/>
        <family val="2"/>
      </rPr>
      <t xml:space="preserve">.  </t>
    </r>
    <r>
      <rPr>
        <b/>
        <sz val="12"/>
        <color indexed="9"/>
        <rFont val="Arial"/>
        <family val="2"/>
      </rPr>
      <t xml:space="preserve">  </t>
    </r>
  </si>
  <si>
    <t>Cost Savings           £</t>
  </si>
  <si>
    <t>Net Cost               £</t>
  </si>
  <si>
    <t>Health Gain from BCP</t>
  </si>
  <si>
    <t>Health Gain from Signposting</t>
  </si>
  <si>
    <t>Cost Savings to Offender Management Services from Reduced Reoffending £</t>
  </si>
  <si>
    <t>Total NHS Cost Savings and Offset £</t>
  </si>
  <si>
    <t xml:space="preserve">Cost Offset to NHS  from Signposting and events £ </t>
  </si>
  <si>
    <t>Cost Offset to NHS from   Mapping £</t>
  </si>
  <si>
    <t>Cost Savings to NHS  from Health Gain £</t>
  </si>
  <si>
    <t>Total Public Sector Cost Savings and Offset £</t>
  </si>
  <si>
    <r>
      <t xml:space="preserve"> </t>
    </r>
    <r>
      <rPr>
        <b/>
        <sz val="26"/>
        <rFont val="Arial"/>
        <family val="2"/>
      </rPr>
      <t>Results of Applying Assumptions and Values to Your Data</t>
    </r>
  </si>
  <si>
    <t>Net Public Sector Cost £</t>
  </si>
  <si>
    <t>Total Health Gain DALY</t>
  </si>
  <si>
    <t>Extent of Change        %</t>
  </si>
  <si>
    <t>Goal maint'ce   3 months        %</t>
  </si>
  <si>
    <t>Long term persistance after 5 years  %</t>
  </si>
  <si>
    <t>Propensity to change without intervention      %</t>
  </si>
  <si>
    <t>Smoking</t>
  </si>
  <si>
    <t xml:space="preserve">Alcohol Misuse </t>
  </si>
  <si>
    <t xml:space="preserve">Diet and Activity  </t>
  </si>
  <si>
    <t>Emotional  Wellbeing</t>
  </si>
  <si>
    <t>Illicit Drug Use</t>
  </si>
  <si>
    <t>Other/ Unsafe sex</t>
  </si>
  <si>
    <t>Emotional Well being Impact         %</t>
  </si>
  <si>
    <t>Comments</t>
  </si>
  <si>
    <t>Assumptions and Values Applied to Data</t>
  </si>
  <si>
    <t>Relative Value of Partial Goal Achiev't %</t>
  </si>
  <si>
    <r>
      <t>Table 1              BCP and Signpost   Assumptions ►</t>
    </r>
    <r>
      <rPr>
        <b/>
        <sz val="24"/>
        <color indexed="9"/>
        <rFont val="Arial"/>
        <family val="2"/>
      </rPr>
      <t xml:space="preserve"> </t>
    </r>
    <r>
      <rPr>
        <b/>
        <sz val="12"/>
        <color indexed="9"/>
        <rFont val="Arial"/>
        <family val="2"/>
      </rPr>
      <t xml:space="preserve">                                               Risk Factor    ▼</t>
    </r>
  </si>
  <si>
    <t>Smoking BCP</t>
  </si>
  <si>
    <t xml:space="preserve">Alcohol Misuse BCP </t>
  </si>
  <si>
    <t xml:space="preserve">Diet and Activity BCP  </t>
  </si>
  <si>
    <t>Emotional  Wellbeing BCP</t>
  </si>
  <si>
    <t>Other BCP</t>
  </si>
  <si>
    <t>Table 2  Signposting Success Rate %</t>
  </si>
  <si>
    <t>Look Up Tables for Social Time Preference Discount Rates</t>
  </si>
  <si>
    <t>DALYs</t>
  </si>
  <si>
    <t>YLD</t>
  </si>
  <si>
    <t>Total these causes</t>
  </si>
  <si>
    <t>Total all cause</t>
  </si>
  <si>
    <t>Emotional Wellbeing</t>
  </si>
  <si>
    <t>National Baseline Data to be Updated as Knowledge Improves</t>
  </si>
  <si>
    <t>Weighted Years Lived with Disability YLD</t>
  </si>
  <si>
    <t xml:space="preserve">   PYLL </t>
  </si>
  <si>
    <t xml:space="preserve"> P D   </t>
  </si>
  <si>
    <t>Attributable  NHS Costs                           £ m 2008/9</t>
  </si>
  <si>
    <t>Table 3                   Costs to Offender Management   Services      ►               Per Reoffender</t>
  </si>
  <si>
    <t>Multiplier applying assumpt's to age 80</t>
  </si>
  <si>
    <t>Data and Values For Health Trainer Assessment</t>
  </si>
  <si>
    <t>Table 5 HELP weighting for Inequality</t>
  </si>
  <si>
    <t>Costs excluding VAT and Devel't         £</t>
  </si>
  <si>
    <t>Total Number of Signpost Clients</t>
  </si>
  <si>
    <t>Total Number of Events  attended</t>
  </si>
  <si>
    <t>Note if the Offender details are not available leave blank</t>
  </si>
  <si>
    <t>Table 3 Health Gain from Signposting DALYs</t>
  </si>
  <si>
    <t>Table 6         % Reduction in OMHTS reoffending</t>
  </si>
  <si>
    <t>Additional Gains from emotional wellbeing</t>
  </si>
  <si>
    <t xml:space="preserve">Engaged in BCP </t>
  </si>
  <si>
    <t>Achieving Goals %</t>
  </si>
  <si>
    <t xml:space="preserve">Table 5                  Equity weighting                               </t>
  </si>
  <si>
    <t xml:space="preserve">% of Clients from Lowest Quintile IMD Areas </t>
  </si>
  <si>
    <t>Total Disadvantage %</t>
  </si>
  <si>
    <t>Other Disadvantage %</t>
  </si>
  <si>
    <t xml:space="preserve"> Clients </t>
  </si>
  <si>
    <t>Your weight for disadvantage</t>
  </si>
  <si>
    <t>HELP Weight for Disadvantage</t>
  </si>
  <si>
    <t>You can either use Total or Higher and Lower values for signposts and events but not both</t>
  </si>
  <si>
    <t>The figures below calculate the HELP weighting</t>
  </si>
  <si>
    <t>Table 7  Societal Impact of Reoffending £ per reoffender</t>
  </si>
  <si>
    <t>Risk Factor</t>
  </si>
  <si>
    <t xml:space="preserve"> Expenditure on Products per person at risk per year  £</t>
  </si>
  <si>
    <t>Informal Care per person at risk per year  £</t>
  </si>
  <si>
    <t xml:space="preserve"> Cost per person at risk per year            £</t>
  </si>
  <si>
    <t xml:space="preserve">Alcohol misuse </t>
  </si>
  <si>
    <t>Total Cost of Care at liesure cost £million</t>
  </si>
  <si>
    <t>Other/Illicit Drug Use</t>
  </si>
  <si>
    <t>Other/Unsafe sex</t>
  </si>
  <si>
    <t>Total Savings to Clients</t>
  </si>
  <si>
    <t xml:space="preserve">Total societal impact of reduced reoffending £ </t>
  </si>
  <si>
    <t>Total societal value or Human Values to Communities</t>
  </si>
  <si>
    <t xml:space="preserve">  Population at Risk PAR 1990-2004</t>
  </si>
  <si>
    <t xml:space="preserve">Cost savings to Criminal Justice from reduced alcohol and substance abuse </t>
  </si>
  <si>
    <t xml:space="preserve">Table 4 Annual                 Costs to Criminal Justice System per alcohol abuser  ►               </t>
  </si>
  <si>
    <t>Savings to Criminal Justice System</t>
  </si>
  <si>
    <t>Savings to NHS and LAs</t>
  </si>
  <si>
    <t>This is total Signposting gain the VfM depends on the cost of services signposted</t>
  </si>
  <si>
    <t xml:space="preserve"> Human Values of a QALY</t>
  </si>
  <si>
    <t>This includes only Signposting health gains  to disadvantaged clients</t>
  </si>
  <si>
    <t>Results</t>
  </si>
  <si>
    <t>Human Values of QALY Improvement including BCP emotional wellbeing and Signposting of disadvantaged groups</t>
  </si>
  <si>
    <t>Weighted Outcomes</t>
  </si>
  <si>
    <t>Value of outcomes weighted using your value for disadvantage</t>
  </si>
  <si>
    <t>Value of outcomes using HELP weighting</t>
  </si>
  <si>
    <t>Total Values Generated and Long term Savings discounted to current base year</t>
  </si>
  <si>
    <t>HELP Utility Score</t>
  </si>
  <si>
    <t>This is the weight or value you give to impacts on disadvantaged people (i.e. It will value outcomes for disadvantage this much more than for other clients. Note DH does not recommend applying weights in this way on the grounds that everyone's health is of the same value but you may consider that it is more difficult to reach such groups because of the greater barriers they face so you might want to apply a higger value</t>
  </si>
  <si>
    <t>Reach</t>
  </si>
  <si>
    <r>
      <rPr>
        <sz val="11"/>
        <rFont val="Arial"/>
        <family val="2"/>
      </rPr>
      <t>In order to derive a HELP utility score (the priority of the project compared to others in the Health England Leading Prioritisation system) you need to provide an estimate of the proportion of the population which the intervention could</t>
    </r>
    <r>
      <rPr>
        <sz val="12"/>
        <rFont val="Arial"/>
        <family val="2"/>
      </rPr>
      <t xml:space="preserve"> reach if extended across the whole population. This is called the Reach of the project</t>
    </r>
  </si>
  <si>
    <t>This is the weight given to the whole project (not just to its impact on disadvantage) by the HELP system (for more details see http://help.matrixknowledge.com/)</t>
  </si>
  <si>
    <t>This is the utility or priority score that would be given to the project under the Health England Leading Prioritisation system</t>
  </si>
  <si>
    <t xml:space="preserve">Social Return on Investment using your weights </t>
  </si>
  <si>
    <t>Social Return on Investment using HELP weights</t>
  </si>
  <si>
    <t>Discounted Additional Lifetime savings from emotional wellbeing from project  £</t>
  </si>
  <si>
    <t>Discounted Lifetime Savings to clients who fully or partially achieve PHP goals from project £</t>
  </si>
  <si>
    <t xml:space="preserve">Table 4    Your Value for Addressing Inequality % </t>
  </si>
  <si>
    <t>This may be estimated as the percentage of clients from areas with high Index of Multiple Deprivation (IMD) scores. However in some cases other measures of disadvantage may be more appropriate. In all cases the measure should be the percentage of clients in the most deprived 20%.</t>
  </si>
  <si>
    <r>
      <t xml:space="preserve">Table 2 Sensitivity Analysis                                Results of Varying Assumptions                                  </t>
    </r>
    <r>
      <rPr>
        <b/>
        <sz val="12"/>
        <color indexed="12"/>
        <rFont val="Arial"/>
        <family val="2"/>
      </rPr>
      <t xml:space="preserve">.  </t>
    </r>
    <r>
      <rPr>
        <b/>
        <sz val="12"/>
        <color indexed="9"/>
        <rFont val="Arial"/>
        <family val="2"/>
      </rPr>
      <t xml:space="preserve">  </t>
    </r>
  </si>
  <si>
    <t>NHS Cost Savings           £</t>
  </si>
  <si>
    <t>Other cost savings                    £</t>
  </si>
  <si>
    <t>You can apply sensitivity analysis by running the ready reckoner with different sets of assumptions about the extent of health gain and the long term persistence of change and with different values for things like mapping and signposting. This broad sensitivity analysis simply increases or decreases all assumptions (figures drawn from the Assumption worksheet) by the amounts you choose below.</t>
  </si>
  <si>
    <t>Sensitivity Analysis Increased Assumptions</t>
  </si>
  <si>
    <t>Sensitivity Analysis Decreased Assumptions</t>
  </si>
  <si>
    <t>CD</t>
  </si>
  <si>
    <t>Discount Factor (for single inputs)</t>
  </si>
  <si>
    <t>Discount factor (for a benefit stream)</t>
  </si>
  <si>
    <t>Discount factor (can be changed)</t>
  </si>
  <si>
    <t>2007/8</t>
  </si>
  <si>
    <t>2008/9</t>
  </si>
  <si>
    <t>2009/10</t>
  </si>
  <si>
    <t>2010/11</t>
  </si>
  <si>
    <t>2011/12</t>
  </si>
  <si>
    <t>2012/13</t>
  </si>
  <si>
    <t>2013/14</t>
  </si>
  <si>
    <t>2014/15</t>
  </si>
  <si>
    <t xml:space="preserve">Health Trainer Assessment Tool 3.0 </t>
  </si>
  <si>
    <t>The value of Mapping should be discussed between Commissioner and providers if it is considered essential the next cheapest way of mapping is a good basis</t>
  </si>
  <si>
    <t>Again to be discussed by Commissioners and providers, higher and lower value  enter below but enter zero here otherwise simply enter the average value</t>
  </si>
  <si>
    <t>Higher value may be ascribed if for example personal advice and support is given to clients</t>
  </si>
  <si>
    <t>If you agree higher and lower values for event enter below but enter zero here otherwise simply enter the average value</t>
  </si>
  <si>
    <t>A higher value event attendance may be where clients are given advice or a talk is given</t>
  </si>
  <si>
    <t>Lower value may be ascribed if it is simply attending a regular meeting</t>
  </si>
  <si>
    <t xml:space="preserve">Attributable  Costs of Crime 2008/9 £m </t>
  </si>
  <si>
    <t>To adjust NHS costs to allow for further inflation from 2014/15 just enter the % increase in total NHS expenditure from 2014/15 to the year you are working in in the box below</t>
  </si>
  <si>
    <t>Inflation to current year for costs</t>
  </si>
  <si>
    <t>Assumptions applied to assess impact on LA and Criminal Justice service costs</t>
  </si>
  <si>
    <t>LA Wellbeing and Social Care costs £m</t>
  </si>
  <si>
    <t>LA wellbeing and social care costs for adult mental illness £m</t>
  </si>
  <si>
    <t>Long run marginal cost impact on wellbeing and social care cost %</t>
  </si>
  <si>
    <t>Long run marginal cost impact of smoking on F&amp;E cost      %</t>
  </si>
  <si>
    <t>Long run marginal cost impact of smoking on street cleaning %</t>
  </si>
  <si>
    <t>Cost of street cleaning £m</t>
  </si>
  <si>
    <t>Long run marginal cost impact on mh wellbeing and social care cost %</t>
  </si>
  <si>
    <t>Current estimates</t>
  </si>
  <si>
    <t>LA Social Care Inflation Factor (to bring LA costs to base year value)</t>
  </si>
  <si>
    <t>Discounted Lifetime impact for a client changing their behaviour (note you can find the undiscounted value by setting the discount rate to zero in the look up tables)</t>
  </si>
  <si>
    <t>Fire and Emergency Service costs          £m</t>
  </si>
  <si>
    <t>Total Expenditure on Harmful Products est      £million</t>
  </si>
  <si>
    <t>Sensitivity Analysis increase or decrease assumptions by the % you choose</t>
  </si>
  <si>
    <r>
      <t>To adjust prices and  costs to allow for further inflation from 2014/15 enter the % increase in expenditure from 2014/15 to the</t>
    </r>
    <r>
      <rPr>
        <b/>
        <sz val="10"/>
        <rFont val="Arial"/>
        <family val="2"/>
      </rPr>
      <t xml:space="preserve"> </t>
    </r>
    <r>
      <rPr>
        <sz val="10"/>
        <rFont val="Arial"/>
        <family val="2"/>
      </rPr>
      <t>year you are working in</t>
    </r>
    <r>
      <rPr>
        <b/>
        <sz val="10"/>
        <rFont val="Arial"/>
        <family val="2"/>
      </rPr>
      <t xml:space="preserve"> </t>
    </r>
    <r>
      <rPr>
        <sz val="10"/>
        <rFont val="Arial"/>
        <family val="2"/>
      </rPr>
      <t>the box below</t>
    </r>
  </si>
  <si>
    <t>To adjust LA costs to allow for further inflation from 2014/15 enter the % increase in expenditure from 2014/15 to year you are working in the box below</t>
  </si>
  <si>
    <t>Combining Qualitative and Quantitative Data</t>
  </si>
  <si>
    <r>
      <t xml:space="preserve"> </t>
    </r>
    <r>
      <rPr>
        <b/>
        <sz val="22"/>
        <rFont val="Arial"/>
        <family val="2"/>
      </rPr>
      <t>Objectives for Health Trainer Services</t>
    </r>
    <r>
      <rPr>
        <sz val="10"/>
        <rFont val="Arial"/>
        <family val="0"/>
      </rPr>
      <t xml:space="preserve"> </t>
    </r>
  </si>
  <si>
    <r>
      <t xml:space="preserve">When examining the value for money of Health Trainer Services it is important to draw on both qualitative and quantitative data. You must show what impact your services have on the people and communities you serve, by discussing the service with them and letting them explain their needs and how they can be met. You can then explain in both examples and figures what impact the service achieves. Value for money is not a simple number, it is a way of demonstrating the impact on people's lives. This must be based on a shared understanding between commissioners and providers of HTS and the people they serve. Thus before you start using numbers it is suggested you need to draw up a Social Impact Matrix along the lines shown below. This helps to identify your stakeholders and is a starting point for discussing with them what their objectives and expectations and for the HTS you provide.           </t>
    </r>
    <r>
      <rPr>
        <sz val="11"/>
        <color indexed="9"/>
        <rFont val="Arial"/>
        <family val="2"/>
      </rPr>
      <t xml:space="preserve">. </t>
    </r>
    <r>
      <rPr>
        <sz val="11"/>
        <rFont val="Arial"/>
        <family val="2"/>
      </rPr>
      <t xml:space="preserve">                                                                                                                                                                                                                                                 You should also produce a Social Impact Map which is a way of describing the process of change you are hoping to achieve for individuals and the communities you serve. For example in relation to HTS - how are clients referred to your service (from GPs, from BME or other community groups, by self referral from meetings etc) how are clients then helped to change their behaviour (what sort of counselling and support is offered by Health Trainers are they referred on to specialist services etc), then how are they helped to persist in their changed behaviour (are they helped to join or form support groups, is there a follow up service do they participate as health champions etc). This gives a realistic picture of how and when health behaviour is improved. It can also point out some potential unintended consequences (what if a client feels that changing their behaviour will cut them off from their peer group, or make them feel they are failing in life). Considering intended and unintended consequences helps to guide the HTS process to achieve the greatest impact and avoid negative outcomes. For more see the Cabinet Office Guide to Social Return on Investment.                                                          </t>
    </r>
    <r>
      <rPr>
        <sz val="11"/>
        <color indexed="9"/>
        <rFont val="Arial"/>
        <family val="2"/>
      </rPr>
      <t xml:space="preserve">.  </t>
    </r>
    <r>
      <rPr>
        <sz val="11"/>
        <rFont val="Arial"/>
        <family val="2"/>
      </rPr>
      <t xml:space="preserve">                                                                                                                                                                                                                                                The values used in this tool are drawn from a review of Health Trainer Services undertaken by Professor Graham Lister in 2010 commissioned by the Department of Health, updated as new data became available. This and other tools covering smoking cessation, weight control, diet improvement, activity increase, alcohol harm reduction, breast feeding continuation and bowel cancer screening, plus training materials showing how to use these tools can be obtained from the Building Leadership for Health website  at http://www.building-leadership-for-health.org.uk/evaluating-behaviour-change/ </t>
    </r>
  </si>
  <si>
    <t>Extent of change is the extent to which they achieve total change of behaviour i.e. smoking cessation or ideal weight</t>
  </si>
  <si>
    <t>Goal maintenance should be measured at 3 months and ideally at 1 year and 18 months the figures used here are from studies of HTS services but should be improved</t>
  </si>
  <si>
    <t>Long term persistence and extent of change suggest that only about 5% of those who change will achieve lifelong health improvements. This is in line with other studies.</t>
  </si>
  <si>
    <t>Propensity to change without intervention depends on how clients are identified, if they come in order to change they may have a higher propensity 3% if not  try 1%</t>
  </si>
  <si>
    <t>Obviously a more detailed examination of behaviour change over the long term would be desirable for each behaviour.</t>
  </si>
  <si>
    <t>Illicit Drug Use BCP</t>
  </si>
  <si>
    <t>Long term persistence can be improved by measures such as forming a support group or follow up by phone experts suggest this can improve persistence by 5% or more.</t>
  </si>
  <si>
    <t>Attributable  Costs to employment and productivity 2008/9                           £ m</t>
  </si>
  <si>
    <t>Note if this figure is negative it means the intervention both improves health and saves long term costs</t>
  </si>
  <si>
    <t>Fill in numbers of clients completing each type of behaviour change programme.</t>
  </si>
  <si>
    <r>
      <rPr>
        <sz val="11"/>
        <rFont val="Arial"/>
        <family val="2"/>
      </rPr>
      <t>You must fill in the second box i.e. the cost of the intervention not including VAT or basic research you would need to do in any case</t>
    </r>
    <r>
      <rPr>
        <sz val="12"/>
        <rFont val="Arial"/>
        <family val="2"/>
      </rPr>
      <t>.</t>
    </r>
  </si>
  <si>
    <t>Also fill in the percentage partially or completely achieving their Personal Health Programme Goals, at present how goals are defined and what constitutes achievement varies between HTSs so normalisation would be very helpful</t>
  </si>
  <si>
    <t>Most HTS are focussed on weight, diet and activity improvement.</t>
  </si>
  <si>
    <t xml:space="preserve">Some services have specific programmes to support clients emaotional wellbeing others do not. </t>
  </si>
  <si>
    <t>Other Behaviour Change Programmes may be identified by HTS and more detailed evaluation tools can be developed as data becomes available.</t>
  </si>
  <si>
    <t>In all cases one of the best ways of improving value for money is to develop support groups or follow up processes that increase persistence.</t>
  </si>
  <si>
    <t>Mapping to engage stakeholders</t>
  </si>
  <si>
    <t>Lower value may apply if signposting simply means giving out a leaflet or phone number</t>
  </si>
  <si>
    <t>Long run marginal cost impact of behaviour change on CJS %</t>
  </si>
  <si>
    <t>Cost Savings to Local Authority Care from Health Gain and EW £</t>
  </si>
  <si>
    <t>NHS Cost  Savings per person avoiding risk                            £ current</t>
  </si>
  <si>
    <t>NHS Cost     Savings per      DALY                          £ current</t>
  </si>
  <si>
    <t>Year</t>
  </si>
  <si>
    <t>NHS Inflation Factor (to bring NHS costs tto 2014/15 value)</t>
  </si>
  <si>
    <t xml:space="preserve">     Potential Health Gain NHS and LA Saving per person avoiding behaviour risk </t>
  </si>
  <si>
    <t xml:space="preserve">            Health Burden Estimates and costs for England 2001 - 2006 and 2008/9</t>
  </si>
  <si>
    <t>Savings to Criminal Justice System £m</t>
  </si>
  <si>
    <t xml:space="preserve">Poor Diet and Low Activity  </t>
  </si>
  <si>
    <t>Attributable Health Burden % DALYs 2010</t>
  </si>
  <si>
    <t>Premature Deaths Under 75                P D   2006</t>
  </si>
  <si>
    <t xml:space="preserve">   Years of Life Lost    YLL 2010</t>
  </si>
  <si>
    <t xml:space="preserve">Total DALYs are taken from Prof Christopher JL Murray MD et al “UK health performance: findings of the Global Burden of Disease Study 2010” The Lancet 2013, adjusted for the population of England.     Allocation between YLL and YLDs are approximations at present as detailed YLL/YLD estimates were not available. Estimates of premature deaths population at risk and NHS costs/ costs of crime and costs to employment and productivity are from a variety of sources.(see notes).  </t>
  </si>
  <si>
    <t>Sensitivity to discount factor Treasury rate is 3.5 but NICE suggest  test sensitivity to 1.5 or 6</t>
  </si>
  <si>
    <t>Total social impact per person whose behaviour is changed             £current</t>
  </si>
  <si>
    <t xml:space="preserve">            Social Returns on Investment And Additional Benefits to Society</t>
  </si>
  <si>
    <t xml:space="preserve">L A   savings in  social care cost per   person year  reduced        £ current                   </t>
  </si>
  <si>
    <t xml:space="preserve">Savings to other public services including F&amp;E, CJS &amp; street cleaning per person year changing behaviour £current </t>
  </si>
  <si>
    <t>Employment productivity impacts per person year Total £current</t>
  </si>
  <si>
    <t>Total societal impact of behaviour change</t>
  </si>
  <si>
    <t>Health Gain   DALYs /QALY</t>
  </si>
  <si>
    <t>Net cost Per Health Gain £ per DALY/QALY</t>
  </si>
  <si>
    <t>Net cost Per Health Gain        £ per DALY/QALY</t>
  </si>
  <si>
    <t>Health Gain   DALY/QALYs</t>
  </si>
  <si>
    <t xml:space="preserve">Health Education Wessex </t>
  </si>
  <si>
    <t>Net Cost per Unweighted Total Dalys/QALY               £ PER DALY/QALY</t>
  </si>
  <si>
    <t>Social Return on Investment  per £1 Wher £1 indicates a return value equal to the net investment</t>
  </si>
  <si>
    <t>Retail Price Index also used as Income leisure time and CJS inflation to 2014/15 values</t>
  </si>
  <si>
    <t>Savings to economy from employment impacts</t>
  </si>
  <si>
    <t>Impact on economy through employment impacts</t>
  </si>
  <si>
    <t xml:space="preserve">The employment impact is indicated here as a contribution to the Social Return on Investment </t>
  </si>
  <si>
    <r>
      <t xml:space="preserve">Welcome to the Health Trainer Service Evaluation tool 3.0. This is a further update of the tool designed to help you evaluate the Value for Money of Health Trainer Services, taking into account the latest estimates of the Burden of Disease in England from the Institute for Health Metrics and Evaluation and views from Public Health England, NICE and a wide range of health commissioners and providers who responded to a questionnaire . This review was commissioned by Em Rhaman PH Workforce Development Manager at Health Education Wessex and undertaken by Professor Graham Lister and Ian McAleer. It  updates the values used in the tool to 2014/15 prices and provides a facility for further upgrade with inflation in future years.                                                                                                                                                                                                                                                               </t>
    </r>
    <r>
      <rPr>
        <sz val="8"/>
        <color indexed="9"/>
        <rFont val="Arial"/>
        <family val="2"/>
      </rPr>
      <t xml:space="preserve">.  </t>
    </r>
    <r>
      <rPr>
        <sz val="8"/>
        <rFont val="Arial"/>
        <family val="2"/>
      </rPr>
      <t xml:space="preserve">   </t>
    </r>
    <r>
      <rPr>
        <sz val="12"/>
        <rFont val="Arial"/>
        <family val="2"/>
      </rPr>
      <t xml:space="preserve">                                                                                                                                                                                                                                                               Your starting point for reviewing HTS is to consider the objectives of the service and the stakeholders served - see Objectives                                                                    </t>
    </r>
    <r>
      <rPr>
        <sz val="12"/>
        <color indexed="9"/>
        <rFont val="Arial"/>
        <family val="2"/>
      </rPr>
      <t xml:space="preserve">.   </t>
    </r>
    <r>
      <rPr>
        <sz val="12"/>
        <rFont val="Arial"/>
        <family val="2"/>
      </rPr>
      <t xml:space="preserve">                                                                                                                                                                                                                                                    This provides a context for the data and valuesof your services and the outcomes achieved - enter at Data and Values                                                                 </t>
    </r>
    <r>
      <rPr>
        <sz val="8"/>
        <color indexed="9"/>
        <rFont val="Arial"/>
        <family val="2"/>
      </rPr>
      <t xml:space="preserve">.   </t>
    </r>
    <r>
      <rPr>
        <sz val="12"/>
        <rFont val="Arial"/>
        <family val="2"/>
      </rPr>
      <t xml:space="preserve">                                                                                                                                                                                                                                                       For impacts on future costs directly associated with your outcomes and measures of the value for money achieved - see Results                                                 </t>
    </r>
    <r>
      <rPr>
        <sz val="8"/>
        <color indexed="9"/>
        <rFont val="Arial"/>
        <family val="2"/>
      </rPr>
      <t xml:space="preserve">.                                                </t>
    </r>
    <r>
      <rPr>
        <sz val="8"/>
        <rFont val="Arial"/>
        <family val="2"/>
      </rPr>
      <t xml:space="preserve"> </t>
    </r>
    <r>
      <rPr>
        <sz val="12"/>
        <rFont val="Arial"/>
        <family val="2"/>
      </rPr>
      <t xml:space="preserve">                                                                                                                                                                                                                                                               You may also wish to consider the wider social impact and Social Return on Investment Achieved - see  theSROI page                                                    </t>
    </r>
    <r>
      <rPr>
        <sz val="8"/>
        <color indexed="9"/>
        <rFont val="Arial"/>
        <family val="2"/>
      </rPr>
      <t>.</t>
    </r>
    <r>
      <rPr>
        <sz val="8"/>
        <rFont val="Arial"/>
        <family val="2"/>
      </rPr>
      <t xml:space="preserve">   </t>
    </r>
    <r>
      <rPr>
        <sz val="12"/>
        <rFont val="Arial"/>
        <family val="2"/>
      </rPr>
      <t xml:space="preserve">                                                                                                                                                                                                                                                     This will also allow you to test various different assumptions, for example, to change the social time preference rate (as NICE suggest)                                    </t>
    </r>
    <r>
      <rPr>
        <sz val="8"/>
        <color indexed="9"/>
        <rFont val="Arial"/>
        <family val="2"/>
      </rPr>
      <t xml:space="preserve">.   </t>
    </r>
    <r>
      <rPr>
        <sz val="8"/>
        <rFont val="Arial"/>
        <family val="2"/>
      </rPr>
      <t xml:space="preserve"> </t>
    </r>
    <r>
      <rPr>
        <sz val="12"/>
        <rFont val="Arial"/>
        <family val="2"/>
      </rPr>
      <t xml:space="preserve">                                                                                                                                                                                                                                                     You can also change estimates of the extent to which changes in behaviour persist and the comparator case - see Assumptions                                      </t>
    </r>
    <r>
      <rPr>
        <sz val="8"/>
        <color indexed="9"/>
        <rFont val="Arial"/>
        <family val="2"/>
      </rPr>
      <t xml:space="preserve">. </t>
    </r>
    <r>
      <rPr>
        <sz val="8"/>
        <rFont val="Arial"/>
        <family val="2"/>
      </rPr>
      <t xml:space="preserve">   </t>
    </r>
    <r>
      <rPr>
        <sz val="12"/>
        <rFont val="Arial"/>
        <family val="2"/>
      </rPr>
      <t xml:space="preserve">                                                                                                                                                                                                                                                     From time to time as in this review the national data on which this tool is based will be updated  - see National Data                                                                </t>
    </r>
    <r>
      <rPr>
        <sz val="8"/>
        <color indexed="9"/>
        <rFont val="Arial"/>
        <family val="2"/>
      </rPr>
      <t xml:space="preserve">.  </t>
    </r>
    <r>
      <rPr>
        <sz val="8"/>
        <rFont val="Arial"/>
        <family val="2"/>
      </rPr>
      <t xml:space="preserve"> </t>
    </r>
    <r>
      <rPr>
        <sz val="12"/>
        <rFont val="Arial"/>
        <family val="2"/>
      </rPr>
      <t xml:space="preserve">                                                                                                                                                                                                                                                      You can also update the discount rates as advised by the Treasury and indicators of NHS/ LA and RPI inflation -  see Look Up Tables                           .                                                                                                                                                                                                                                                                                                                                                                                                                                                                       .Thank you Theo Vos of the Institute for Health Metrics and Evaluation for his guidance but all errors in interpreting his guidance are mine.</t>
    </r>
    <r>
      <rPr>
        <sz val="12"/>
        <color indexed="9"/>
        <rFont val="Arial"/>
        <family val="2"/>
      </rPr>
      <t xml:space="preserve"> </t>
    </r>
    <r>
      <rPr>
        <sz val="12"/>
        <rFont val="Arial"/>
        <family val="2"/>
      </rPr>
      <t xml:space="preserve">                        </t>
    </r>
    <r>
      <rPr>
        <sz val="8"/>
        <color indexed="9"/>
        <rFont val="Arial"/>
        <family val="2"/>
      </rPr>
      <t xml:space="preserve">. </t>
    </r>
    <r>
      <rPr>
        <sz val="12"/>
        <rFont val="Arial"/>
        <family val="2"/>
      </rPr>
      <t xml:space="preserve">                                                                                                                                                                                                                                                           </t>
    </r>
    <r>
      <rPr>
        <sz val="10"/>
        <rFont val="Arial"/>
        <family val="2"/>
      </rPr>
      <t>NHS Health Education Wessex</t>
    </r>
    <r>
      <rPr>
        <sz val="12"/>
        <rFont val="Arial"/>
        <family val="2"/>
      </rPr>
      <t xml:space="preserve"> </t>
    </r>
    <r>
      <rPr>
        <sz val="10"/>
        <rFont val="Arial"/>
        <family val="2"/>
      </rPr>
      <t>assert Copywrite to preserve this material as public goods not for use for profit the worksheets are protected with password 000.</t>
    </r>
  </si>
  <si>
    <t>The value placed on QALYs is as suggested by NICE £20000 in 2013/4 with no inflation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</si>
</sst>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Red]&quot;£&quot;#,##0"/>
    <numFmt numFmtId="169" formatCode="[$-809]dd\ mmmm\ yyyy"/>
    <numFmt numFmtId="170" formatCode="0.0"/>
    <numFmt numFmtId="171" formatCode="&quot;£&quot;#,##0"/>
    <numFmt numFmtId="172" formatCode="&quot;£&quot;#,##0.00"/>
    <numFmt numFmtId="173" formatCode="0.0%"/>
    <numFmt numFmtId="174" formatCode="&quot;£&quot;#,##0.0"/>
    <numFmt numFmtId="175" formatCode="&quot;£&quot;#,##0.0;[Red]\-&quot;£&quot;#,##0.0"/>
    <numFmt numFmtId="176" formatCode="0.0000"/>
    <numFmt numFmtId="177" formatCode="0.000"/>
    <numFmt numFmtId="178" formatCode="0.000%"/>
    <numFmt numFmtId="179" formatCode="#,##0.00_ ;[Red]\-#,##0.00\ "/>
  </numFmts>
  <fonts count="75">
    <font>
      <sz val="10"/>
      <name val="Arial"/>
      <family val="0"/>
    </font>
    <font>
      <sz val="11"/>
      <name val="Arial"/>
      <family val="2"/>
    </font>
    <font>
      <sz val="12"/>
      <name val="Arial"/>
      <family val="2"/>
    </font>
    <font>
      <b/>
      <sz val="12"/>
      <name val="Arial"/>
      <family val="2"/>
    </font>
    <font>
      <b/>
      <sz val="12"/>
      <color indexed="9"/>
      <name val="Arial"/>
      <family val="2"/>
    </font>
    <font>
      <b/>
      <sz val="12"/>
      <color indexed="12"/>
      <name val="Arial"/>
      <family val="2"/>
    </font>
    <font>
      <sz val="8"/>
      <name val="Arial"/>
      <family val="2"/>
    </font>
    <font>
      <b/>
      <sz val="26"/>
      <name val="Arial"/>
      <family val="2"/>
    </font>
    <font>
      <b/>
      <sz val="10"/>
      <name val="Arial"/>
      <family val="2"/>
    </font>
    <font>
      <sz val="14"/>
      <name val="Arial"/>
      <family val="2"/>
    </font>
    <font>
      <b/>
      <sz val="14"/>
      <color indexed="9"/>
      <name val="Arial"/>
      <family val="2"/>
    </font>
    <font>
      <sz val="14"/>
      <color indexed="9"/>
      <name val="Arial"/>
      <family val="2"/>
    </font>
    <font>
      <b/>
      <sz val="28"/>
      <name val="Arial"/>
      <family val="2"/>
    </font>
    <font>
      <b/>
      <sz val="18"/>
      <name val="Calibri"/>
      <family val="2"/>
    </font>
    <font>
      <b/>
      <sz val="11"/>
      <name val="Arial"/>
      <family val="2"/>
    </font>
    <font>
      <sz val="11"/>
      <name val="Symbol"/>
      <family val="1"/>
    </font>
    <font>
      <sz val="7"/>
      <name val="Times New Roman"/>
      <family val="1"/>
    </font>
    <font>
      <sz val="11"/>
      <name val="Courier New"/>
      <family val="3"/>
    </font>
    <font>
      <b/>
      <sz val="6"/>
      <name val="Arial"/>
      <family val="2"/>
    </font>
    <font>
      <sz val="12"/>
      <name val="Symbol"/>
      <family val="1"/>
    </font>
    <font>
      <sz val="12"/>
      <name val="Courier New"/>
      <family val="3"/>
    </font>
    <font>
      <b/>
      <sz val="14"/>
      <name val="Arial"/>
      <family val="2"/>
    </font>
    <font>
      <b/>
      <sz val="24"/>
      <color indexed="9"/>
      <name val="Arial"/>
      <family val="2"/>
    </font>
    <font>
      <sz val="12"/>
      <color indexed="8"/>
      <name val="Arial"/>
      <family val="2"/>
    </font>
    <font>
      <b/>
      <sz val="12"/>
      <color indexed="8"/>
      <name val="Arial"/>
      <family val="2"/>
    </font>
    <font>
      <sz val="18"/>
      <name val="Arial"/>
      <family val="2"/>
    </font>
    <font>
      <b/>
      <sz val="11"/>
      <color indexed="9"/>
      <name val="Arial"/>
      <family val="2"/>
    </font>
    <font>
      <sz val="12"/>
      <color indexed="9"/>
      <name val="Arial"/>
      <family val="2"/>
    </font>
    <font>
      <b/>
      <sz val="24"/>
      <name val="Arial"/>
      <family val="2"/>
    </font>
    <font>
      <b/>
      <sz val="22"/>
      <name val="Arial"/>
      <family val="2"/>
    </font>
    <font>
      <sz val="11"/>
      <color indexed="9"/>
      <name val="Arial"/>
      <family val="2"/>
    </font>
    <font>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22"/>
      <name val="Arial"/>
      <family val="2"/>
    </font>
    <font>
      <b/>
      <sz val="1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b/>
      <sz val="12"/>
      <color theme="0" tint="-0.04997999966144562"/>
      <name val="Arial"/>
      <family val="2"/>
    </font>
    <font>
      <b/>
      <sz val="14"/>
      <color theme="1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rgb="FF0000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medium"/>
    </border>
    <border>
      <left style="thin"/>
      <right>
        <color indexed="63"/>
      </right>
      <top style="thin"/>
      <bottom>
        <color indexed="63"/>
      </bottom>
    </border>
    <border>
      <left style="medium"/>
      <right style="medium"/>
      <top style="medium"/>
      <bottom style="medium"/>
    </border>
    <border>
      <left>
        <color indexed="63"/>
      </left>
      <right style="thin"/>
      <top style="thin"/>
      <bottom>
        <color indexed="63"/>
      </bottom>
    </border>
    <border>
      <left>
        <color indexed="63"/>
      </left>
      <right style="medium"/>
      <top style="medium"/>
      <bottom style="medium"/>
    </border>
    <border>
      <left style="thin"/>
      <right style="thin"/>
      <top style="thin"/>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style="medium">
        <color indexed="8"/>
      </left>
      <right style="medium">
        <color indexed="8"/>
      </right>
      <top style="medium">
        <color indexed="8"/>
      </top>
      <bottom>
        <color indexed="63"/>
      </bottom>
    </border>
    <border>
      <left style="medium">
        <color indexed="8"/>
      </left>
      <right style="medium">
        <color indexed="8"/>
      </right>
      <top style="medium">
        <color indexed="22"/>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right>
        <color indexed="63"/>
      </right>
      <top>
        <color indexed="63"/>
      </top>
      <bottom>
        <color indexed="63"/>
      </bottom>
    </border>
    <border>
      <left style="medium"/>
      <right style="medium"/>
      <top style="medium"/>
      <bottom>
        <color indexed="63"/>
      </bottom>
    </border>
    <border>
      <left style="medium"/>
      <right>
        <color indexed="63"/>
      </right>
      <top style="medium"/>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8"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22">
    <xf numFmtId="0" fontId="0" fillId="0" borderId="0" xfId="0" applyAlignment="1">
      <alignment/>
    </xf>
    <xf numFmtId="0" fontId="4"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3" xfId="0" applyFont="1" applyFill="1" applyBorder="1" applyAlignment="1">
      <alignment horizontal="center" vertical="center"/>
    </xf>
    <xf numFmtId="0" fontId="4" fillId="32" borderId="15"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4" fillId="32" borderId="17" xfId="0" applyFont="1" applyFill="1" applyBorder="1" applyAlignment="1">
      <alignment horizontal="center" vertical="center" wrapText="1"/>
    </xf>
    <xf numFmtId="0" fontId="4" fillId="32" borderId="18" xfId="0" applyFont="1" applyFill="1" applyBorder="1" applyAlignment="1">
      <alignment horizontal="center" vertical="center" wrapText="1"/>
    </xf>
    <xf numFmtId="170" fontId="3" fillId="0" borderId="12" xfId="0" applyNumberFormat="1" applyFont="1" applyBorder="1" applyAlignment="1">
      <alignment horizontal="center" vertical="center" wrapText="1"/>
    </xf>
    <xf numFmtId="170" fontId="3" fillId="0" borderId="16" xfId="0" applyNumberFormat="1" applyFont="1" applyBorder="1" applyAlignment="1">
      <alignment horizontal="center" vertical="center" wrapText="1"/>
    </xf>
    <xf numFmtId="0" fontId="7" fillId="0" borderId="0" xfId="0" applyFont="1" applyAlignment="1">
      <alignment/>
    </xf>
    <xf numFmtId="0" fontId="0" fillId="0" borderId="0" xfId="0" applyAlignment="1">
      <alignment/>
    </xf>
    <xf numFmtId="0" fontId="10" fillId="32" borderId="19" xfId="0" applyFont="1" applyFill="1" applyBorder="1" applyAlignment="1">
      <alignment horizontal="center" vertical="center" wrapText="1"/>
    </xf>
    <xf numFmtId="0" fontId="10" fillId="32" borderId="20" xfId="0" applyFont="1" applyFill="1" applyBorder="1" applyAlignment="1">
      <alignment horizontal="center" vertical="center" wrapText="1"/>
    </xf>
    <xf numFmtId="0" fontId="9" fillId="0" borderId="19" xfId="0" applyFont="1" applyBorder="1" applyAlignment="1">
      <alignment horizontal="center" vertical="center" wrapText="1"/>
    </xf>
    <xf numFmtId="0" fontId="11" fillId="32" borderId="21" xfId="0" applyFont="1" applyFill="1" applyBorder="1" applyAlignment="1">
      <alignment horizontal="center" vertical="center" wrapText="1"/>
    </xf>
    <xf numFmtId="0" fontId="10" fillId="32" borderId="21" xfId="0" applyFont="1" applyFill="1" applyBorder="1" applyAlignment="1">
      <alignment horizontal="center" vertical="center" wrapText="1"/>
    </xf>
    <xf numFmtId="0" fontId="10" fillId="32" borderId="22" xfId="0" applyFont="1" applyFill="1" applyBorder="1" applyAlignment="1">
      <alignment horizontal="center" vertical="center" wrapText="1"/>
    </xf>
    <xf numFmtId="0" fontId="9" fillId="32" borderId="22" xfId="0" applyFont="1" applyFill="1" applyBorder="1" applyAlignment="1">
      <alignment horizontal="center" vertical="center" wrapText="1"/>
    </xf>
    <xf numFmtId="0" fontId="9" fillId="0" borderId="22" xfId="0" applyFont="1" applyBorder="1" applyAlignment="1">
      <alignment horizontal="center" vertical="center" wrapText="1"/>
    </xf>
    <xf numFmtId="0" fontId="10" fillId="32" borderId="23" xfId="0" applyFont="1" applyFill="1" applyBorder="1" applyAlignment="1">
      <alignment horizontal="center" vertical="center" wrapText="1"/>
    </xf>
    <xf numFmtId="0" fontId="9" fillId="0" borderId="23" xfId="0" applyFont="1" applyBorder="1" applyAlignment="1">
      <alignment horizontal="center" vertical="center" wrapText="1"/>
    </xf>
    <xf numFmtId="0" fontId="12" fillId="0" borderId="0" xfId="0" applyFont="1" applyAlignment="1">
      <alignment/>
    </xf>
    <xf numFmtId="0" fontId="14" fillId="0" borderId="0" xfId="0" applyFont="1" applyAlignment="1">
      <alignment horizontal="justify"/>
    </xf>
    <xf numFmtId="0" fontId="18" fillId="0" borderId="0" xfId="0" applyFont="1" applyAlignment="1">
      <alignment horizontal="justify"/>
    </xf>
    <xf numFmtId="0" fontId="17" fillId="0" borderId="24" xfId="0" applyFont="1" applyBorder="1" applyAlignment="1">
      <alignment horizontal="justify" vertical="top" wrapText="1"/>
    </xf>
    <xf numFmtId="0" fontId="21" fillId="0" borderId="0" xfId="0" applyFont="1" applyAlignment="1">
      <alignment/>
    </xf>
    <xf numFmtId="0" fontId="0" fillId="0" borderId="0" xfId="0" applyAlignment="1">
      <alignment horizontal="center" vertical="center"/>
    </xf>
    <xf numFmtId="0" fontId="4" fillId="32" borderId="25" xfId="0" applyFont="1" applyFill="1" applyBorder="1" applyAlignment="1">
      <alignment horizontal="center" vertical="center" wrapText="1"/>
    </xf>
    <xf numFmtId="0" fontId="4" fillId="32" borderId="12" xfId="0" applyFont="1" applyFill="1" applyBorder="1" applyAlignment="1">
      <alignment horizontal="center" vertical="top" wrapText="1"/>
    </xf>
    <xf numFmtId="0" fontId="4" fillId="32" borderId="14" xfId="0" applyFont="1" applyFill="1" applyBorder="1" applyAlignment="1">
      <alignment horizontal="center" vertical="top" wrapText="1"/>
    </xf>
    <xf numFmtId="0" fontId="23" fillId="0" borderId="16" xfId="0" applyFont="1" applyBorder="1" applyAlignment="1">
      <alignment horizontal="center" vertical="center" wrapText="1"/>
    </xf>
    <xf numFmtId="0" fontId="23" fillId="0" borderId="14" xfId="0" applyFont="1" applyBorder="1" applyAlignment="1">
      <alignment horizontal="center" vertical="center" wrapText="1"/>
    </xf>
    <xf numFmtId="0" fontId="4" fillId="32" borderId="12" xfId="0" applyFont="1" applyFill="1" applyBorder="1" applyAlignment="1">
      <alignment horizontal="center" vertical="center" wrapText="1"/>
    </xf>
    <xf numFmtId="0" fontId="0" fillId="0" borderId="0" xfId="0" applyFill="1" applyAlignment="1">
      <alignment/>
    </xf>
    <xf numFmtId="0" fontId="0" fillId="0" borderId="0" xfId="0" applyFont="1" applyAlignment="1">
      <alignment wrapText="1"/>
    </xf>
    <xf numFmtId="0" fontId="4" fillId="32" borderId="0" xfId="0" applyFont="1" applyFill="1" applyAlignment="1">
      <alignment horizontal="center" vertical="center" wrapText="1"/>
    </xf>
    <xf numFmtId="10" fontId="0" fillId="0" borderId="0" xfId="0" applyNumberFormat="1" applyAlignment="1">
      <alignment/>
    </xf>
    <xf numFmtId="3" fontId="23" fillId="0" borderId="16" xfId="0" applyNumberFormat="1" applyFont="1" applyBorder="1" applyAlignment="1">
      <alignment horizontal="center" vertical="center" wrapText="1"/>
    </xf>
    <xf numFmtId="3" fontId="23" fillId="0" borderId="14" xfId="0" applyNumberFormat="1" applyFont="1" applyBorder="1" applyAlignment="1">
      <alignment horizontal="center" vertical="center" wrapText="1"/>
    </xf>
    <xf numFmtId="0" fontId="24" fillId="0" borderId="16" xfId="0" applyFont="1" applyBorder="1" applyAlignment="1">
      <alignment horizontal="center" vertical="center" wrapText="1"/>
    </xf>
    <xf numFmtId="171" fontId="2" fillId="0" borderId="12" xfId="0" applyNumberFormat="1" applyFont="1" applyBorder="1" applyAlignment="1">
      <alignment horizontal="center" vertical="center"/>
    </xf>
    <xf numFmtId="171" fontId="2" fillId="0" borderId="10" xfId="0" applyNumberFormat="1" applyFont="1" applyBorder="1" applyAlignment="1">
      <alignment horizontal="center" vertical="center"/>
    </xf>
    <xf numFmtId="8" fontId="2" fillId="0" borderId="12" xfId="0" applyNumberFormat="1" applyFont="1" applyBorder="1" applyAlignment="1">
      <alignment horizontal="center" vertical="center"/>
    </xf>
    <xf numFmtId="171" fontId="2" fillId="0" borderId="12" xfId="0" applyNumberFormat="1" applyFont="1" applyBorder="1" applyAlignment="1">
      <alignment horizontal="center" vertical="center"/>
    </xf>
    <xf numFmtId="171" fontId="2" fillId="0" borderId="0" xfId="0" applyNumberFormat="1" applyFont="1" applyAlignment="1">
      <alignment horizontal="center" vertical="center"/>
    </xf>
    <xf numFmtId="2" fontId="2" fillId="0" borderId="0" xfId="0" applyNumberFormat="1" applyFont="1" applyFill="1" applyAlignment="1">
      <alignment/>
    </xf>
    <xf numFmtId="174" fontId="3" fillId="0" borderId="16" xfId="0" applyNumberFormat="1" applyFont="1" applyBorder="1" applyAlignment="1">
      <alignment horizontal="center" vertical="center" wrapText="1"/>
    </xf>
    <xf numFmtId="8" fontId="3" fillId="0" borderId="16" xfId="0" applyNumberFormat="1" applyFont="1" applyBorder="1" applyAlignment="1">
      <alignment horizontal="center" vertical="center" wrapText="1"/>
    </xf>
    <xf numFmtId="175" fontId="3" fillId="0" borderId="16" xfId="0" applyNumberFormat="1" applyFont="1" applyBorder="1" applyAlignment="1">
      <alignment horizontal="center" vertical="center" wrapText="1"/>
    </xf>
    <xf numFmtId="3" fontId="4" fillId="32" borderId="12" xfId="0" applyNumberFormat="1" applyFont="1" applyFill="1" applyBorder="1" applyAlignment="1">
      <alignment horizontal="center" vertical="center" wrapText="1"/>
    </xf>
    <xf numFmtId="0" fontId="0" fillId="0" borderId="0" xfId="0" applyAlignment="1" applyProtection="1">
      <alignment/>
      <protection locked="0"/>
    </xf>
    <xf numFmtId="172" fontId="2" fillId="0" borderId="12" xfId="0" applyNumberFormat="1" applyFont="1" applyBorder="1" applyAlignment="1" applyProtection="1">
      <alignment horizontal="center" vertical="center"/>
      <protection locked="0"/>
    </xf>
    <xf numFmtId="0" fontId="2" fillId="0" borderId="12" xfId="0" applyNumberFormat="1" applyFont="1" applyBorder="1" applyAlignment="1" applyProtection="1">
      <alignment horizontal="center" vertical="center"/>
      <protection locked="0"/>
    </xf>
    <xf numFmtId="14" fontId="2" fillId="0" borderId="12" xfId="0" applyNumberFormat="1"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2" fontId="2" fillId="0" borderId="12" xfId="0" applyNumberFormat="1" applyFont="1" applyBorder="1" applyAlignment="1" applyProtection="1">
      <alignment horizontal="center" vertical="center"/>
      <protection locked="0"/>
    </xf>
    <xf numFmtId="10" fontId="2" fillId="0" borderId="12" xfId="0" applyNumberFormat="1"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172" fontId="2" fillId="0" borderId="18" xfId="0" applyNumberFormat="1" applyFont="1" applyBorder="1" applyAlignment="1" applyProtection="1">
      <alignment horizontal="center" vertical="center"/>
      <protection locked="0"/>
    </xf>
    <xf numFmtId="8" fontId="2" fillId="0" borderId="12" xfId="0" applyNumberFormat="1" applyFont="1" applyBorder="1" applyAlignment="1" applyProtection="1">
      <alignment horizontal="center" vertical="center"/>
      <protection locked="0"/>
    </xf>
    <xf numFmtId="9" fontId="2" fillId="0" borderId="18" xfId="0" applyNumberFormat="1" applyFont="1" applyBorder="1" applyAlignment="1" applyProtection="1">
      <alignment horizontal="center" vertical="center"/>
      <protection locked="0"/>
    </xf>
    <xf numFmtId="0" fontId="0" fillId="0" borderId="12" xfId="0" applyBorder="1" applyAlignment="1" applyProtection="1">
      <alignment/>
      <protection locked="0"/>
    </xf>
    <xf numFmtId="172" fontId="2" fillId="0" borderId="0" xfId="0" applyNumberFormat="1" applyFont="1" applyAlignment="1">
      <alignment horizontal="center" vertical="center"/>
    </xf>
    <xf numFmtId="10" fontId="23" fillId="0" borderId="16" xfId="0" applyNumberFormat="1" applyFont="1" applyBorder="1" applyAlignment="1" applyProtection="1">
      <alignment horizontal="center" vertical="center" wrapText="1"/>
      <protection locked="0"/>
    </xf>
    <xf numFmtId="10" fontId="0" fillId="0" borderId="18" xfId="0" applyNumberFormat="1" applyBorder="1" applyAlignment="1" applyProtection="1">
      <alignment horizontal="center" vertical="center"/>
      <protection locked="0"/>
    </xf>
    <xf numFmtId="10" fontId="23" fillId="0" borderId="14" xfId="0" applyNumberFormat="1" applyFont="1" applyBorder="1" applyAlignment="1" applyProtection="1">
      <alignment horizontal="center" vertical="center" wrapText="1"/>
      <protection locked="0"/>
    </xf>
    <xf numFmtId="10" fontId="0" fillId="0" borderId="12" xfId="0" applyNumberFormat="1" applyFont="1" applyFill="1" applyBorder="1" applyAlignment="1" applyProtection="1">
      <alignment horizontal="center" vertical="center" wrapText="1"/>
      <protection locked="0"/>
    </xf>
    <xf numFmtId="176" fontId="2" fillId="0" borderId="12" xfId="0" applyNumberFormat="1" applyFont="1" applyFill="1" applyBorder="1" applyAlignment="1" applyProtection="1">
      <alignment horizontal="center" vertical="center" wrapText="1"/>
      <protection locked="0"/>
    </xf>
    <xf numFmtId="172" fontId="2" fillId="0" borderId="12" xfId="0" applyNumberFormat="1" applyFont="1" applyFill="1" applyBorder="1" applyAlignment="1" applyProtection="1">
      <alignment horizontal="center" vertical="center" wrapText="1"/>
      <protection locked="0"/>
    </xf>
    <xf numFmtId="6" fontId="2" fillId="0" borderId="14" xfId="0" applyNumberFormat="1" applyFont="1" applyBorder="1" applyAlignment="1" applyProtection="1">
      <alignment horizontal="center" vertical="center" wrapText="1"/>
      <protection locked="0"/>
    </xf>
    <xf numFmtId="6" fontId="2" fillId="0" borderId="0" xfId="0" applyNumberFormat="1" applyFont="1" applyAlignment="1">
      <alignment horizontal="center" vertical="center"/>
    </xf>
    <xf numFmtId="0" fontId="4" fillId="32" borderId="10" xfId="0" applyFont="1" applyFill="1" applyBorder="1" applyAlignment="1" applyProtection="1">
      <alignment horizontal="center" vertical="center" wrapText="1"/>
      <protection/>
    </xf>
    <xf numFmtId="0" fontId="0" fillId="0" borderId="12" xfId="0" applyBorder="1" applyAlignment="1">
      <alignment/>
    </xf>
    <xf numFmtId="171" fontId="23" fillId="0" borderId="16" xfId="0" applyNumberFormat="1" applyFont="1" applyBorder="1" applyAlignment="1">
      <alignment horizontal="center" vertical="center" wrapText="1"/>
    </xf>
    <xf numFmtId="171" fontId="24" fillId="0" borderId="16" xfId="0" applyNumberFormat="1" applyFont="1" applyBorder="1" applyAlignment="1">
      <alignment horizontal="center" vertical="center" wrapText="1"/>
    </xf>
    <xf numFmtId="0" fontId="0" fillId="0" borderId="0" xfId="0" applyAlignment="1">
      <alignment horizontal="left" vertical="center"/>
    </xf>
    <xf numFmtId="0" fontId="2" fillId="0" borderId="0" xfId="0" applyNumberFormat="1" applyFont="1" applyAlignment="1">
      <alignment horizontal="center" vertical="center"/>
    </xf>
    <xf numFmtId="171" fontId="23" fillId="0" borderId="12" xfId="0" applyNumberFormat="1" applyFont="1" applyBorder="1" applyAlignment="1">
      <alignment horizontal="center" vertical="center" wrapText="1"/>
    </xf>
    <xf numFmtId="0" fontId="4" fillId="32" borderId="26" xfId="0" applyFont="1" applyFill="1" applyBorder="1" applyAlignment="1">
      <alignment horizontal="center" vertical="center" wrapText="1"/>
    </xf>
    <xf numFmtId="0" fontId="3" fillId="0" borderId="18"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0" fontId="23" fillId="0" borderId="16" xfId="0" applyNumberFormat="1" applyFont="1" applyBorder="1" applyAlignment="1">
      <alignment horizontal="center" vertical="center" wrapText="1"/>
    </xf>
    <xf numFmtId="10" fontId="23" fillId="0" borderId="14" xfId="0" applyNumberFormat="1" applyFont="1" applyBorder="1" applyAlignment="1">
      <alignment horizontal="center" vertical="center" wrapText="1"/>
    </xf>
    <xf numFmtId="171" fontId="23" fillId="0" borderId="0" xfId="0" applyNumberFormat="1" applyFont="1" applyBorder="1" applyAlignment="1">
      <alignment horizontal="center" vertical="center" wrapText="1"/>
    </xf>
    <xf numFmtId="171" fontId="23" fillId="0" borderId="10" xfId="0" applyNumberFormat="1" applyFont="1" applyBorder="1" applyAlignment="1">
      <alignment horizontal="center" vertical="center" wrapText="1"/>
    </xf>
    <xf numFmtId="171" fontId="3" fillId="0" borderId="12" xfId="0" applyNumberFormat="1" applyFont="1" applyBorder="1" applyAlignment="1">
      <alignment horizontal="center" vertical="center" wrapText="1"/>
    </xf>
    <xf numFmtId="171" fontId="3" fillId="0" borderId="16" xfId="0" applyNumberFormat="1" applyFont="1" applyBorder="1" applyAlignment="1">
      <alignment horizontal="center" vertical="center" wrapText="1"/>
    </xf>
    <xf numFmtId="171" fontId="3" fillId="0" borderId="16" xfId="0" applyNumberFormat="1" applyFont="1" applyBorder="1" applyAlignment="1" applyProtection="1">
      <alignment horizontal="center" vertical="center" wrapText="1"/>
      <protection locked="0"/>
    </xf>
    <xf numFmtId="9" fontId="2" fillId="0" borderId="12" xfId="0" applyNumberFormat="1" applyFont="1" applyBorder="1" applyAlignment="1" applyProtection="1">
      <alignment horizontal="center" vertical="center"/>
      <protection locked="0"/>
    </xf>
    <xf numFmtId="9" fontId="23" fillId="0" borderId="16" xfId="0" applyNumberFormat="1" applyFont="1" applyBorder="1" applyAlignment="1">
      <alignment horizontal="center" vertical="center" wrapText="1"/>
    </xf>
    <xf numFmtId="0" fontId="3" fillId="0" borderId="0" xfId="0" applyFont="1" applyAlignment="1">
      <alignment horizontal="left" vertical="top" wrapText="1"/>
    </xf>
    <xf numFmtId="171" fontId="2" fillId="0" borderId="12" xfId="0" applyNumberFormat="1" applyFont="1" applyFill="1" applyBorder="1" applyAlignment="1">
      <alignment horizontal="center" vertical="center" wrapText="1"/>
    </xf>
    <xf numFmtId="171" fontId="2" fillId="0" borderId="16"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2" fontId="0" fillId="0" borderId="0" xfId="0" applyNumberFormat="1" applyAlignment="1">
      <alignment/>
    </xf>
    <xf numFmtId="2" fontId="2" fillId="0" borderId="18" xfId="0" applyNumberFormat="1" applyFont="1" applyBorder="1" applyAlignment="1" applyProtection="1">
      <alignment horizontal="center" vertical="center"/>
      <protection locked="0"/>
    </xf>
    <xf numFmtId="0" fontId="4" fillId="32" borderId="0" xfId="0" applyFont="1" applyFill="1" applyAlignment="1">
      <alignment horizontal="center" vertical="center" wrapText="1"/>
    </xf>
    <xf numFmtId="9" fontId="2" fillId="0" borderId="12" xfId="0" applyNumberFormat="1" applyFont="1" applyBorder="1" applyAlignment="1" applyProtection="1">
      <alignment horizontal="center" vertical="center"/>
      <protection locked="0"/>
    </xf>
    <xf numFmtId="9" fontId="4" fillId="0" borderId="12" xfId="0" applyNumberFormat="1" applyFont="1" applyFill="1" applyBorder="1" applyAlignment="1" applyProtection="1">
      <alignment horizontal="center" vertical="center" wrapText="1"/>
      <protection locked="0"/>
    </xf>
    <xf numFmtId="170" fontId="3" fillId="0" borderId="16" xfId="0" applyNumberFormat="1" applyFont="1" applyBorder="1" applyAlignment="1" applyProtection="1">
      <alignment horizontal="center" vertical="center" wrapText="1"/>
      <protection locked="0"/>
    </xf>
    <xf numFmtId="9" fontId="0" fillId="0" borderId="0" xfId="0" applyNumberFormat="1" applyAlignment="1">
      <alignment/>
    </xf>
    <xf numFmtId="9" fontId="3" fillId="0" borderId="16" xfId="0" applyNumberFormat="1" applyFont="1" applyBorder="1" applyAlignment="1" applyProtection="1">
      <alignment horizontal="center" vertical="center" wrapText="1"/>
      <protection locked="0"/>
    </xf>
    <xf numFmtId="0" fontId="0" fillId="0" borderId="0" xfId="0" applyAlignment="1">
      <alignment wrapText="1"/>
    </xf>
    <xf numFmtId="0" fontId="4" fillId="33" borderId="14" xfId="0" applyFont="1" applyFill="1" applyBorder="1" applyAlignment="1">
      <alignment horizontal="center" vertical="center" wrapText="1"/>
    </xf>
    <xf numFmtId="171" fontId="2" fillId="0" borderId="27" xfId="0" applyNumberFormat="1" applyFont="1" applyBorder="1" applyAlignment="1">
      <alignment horizontal="center" vertical="center"/>
    </xf>
    <xf numFmtId="10" fontId="2" fillId="0" borderId="27" xfId="0" applyNumberFormat="1" applyFont="1" applyBorder="1" applyAlignment="1">
      <alignment horizontal="center" vertical="center"/>
    </xf>
    <xf numFmtId="10" fontId="2" fillId="0" borderId="28" xfId="0" applyNumberFormat="1" applyFont="1" applyBorder="1" applyAlignment="1">
      <alignment horizontal="center" vertical="center"/>
    </xf>
    <xf numFmtId="0" fontId="72" fillId="33" borderId="0" xfId="0" applyFont="1" applyFill="1" applyBorder="1" applyAlignment="1">
      <alignment horizontal="center" vertical="center" wrapText="1"/>
    </xf>
    <xf numFmtId="10" fontId="0" fillId="0" borderId="27" xfId="0" applyNumberFormat="1" applyBorder="1" applyAlignment="1">
      <alignment/>
    </xf>
    <xf numFmtId="10" fontId="0" fillId="0" borderId="28" xfId="0" applyNumberFormat="1" applyBorder="1" applyAlignment="1">
      <alignment wrapText="1"/>
    </xf>
    <xf numFmtId="10" fontId="0" fillId="0" borderId="28" xfId="0" applyNumberFormat="1" applyBorder="1" applyAlignment="1">
      <alignment/>
    </xf>
    <xf numFmtId="0" fontId="0" fillId="0" borderId="27" xfId="0" applyBorder="1" applyAlignment="1">
      <alignment/>
    </xf>
    <xf numFmtId="176" fontId="0" fillId="0" borderId="27" xfId="0" applyNumberFormat="1" applyBorder="1" applyAlignment="1">
      <alignment/>
    </xf>
    <xf numFmtId="176" fontId="0" fillId="0" borderId="29" xfId="0" applyNumberFormat="1" applyBorder="1" applyAlignment="1">
      <alignment/>
    </xf>
    <xf numFmtId="0" fontId="0" fillId="0" borderId="30" xfId="0" applyBorder="1" applyAlignment="1">
      <alignment/>
    </xf>
    <xf numFmtId="0" fontId="0" fillId="0" borderId="31" xfId="0" applyBorder="1" applyAlignment="1">
      <alignment/>
    </xf>
    <xf numFmtId="177" fontId="0" fillId="0" borderId="31" xfId="0" applyNumberFormat="1" applyBorder="1" applyAlignment="1">
      <alignment/>
    </xf>
    <xf numFmtId="171" fontId="23" fillId="0" borderId="16" xfId="0" applyNumberFormat="1" applyFont="1" applyBorder="1" applyAlignment="1" applyProtection="1">
      <alignment horizontal="center" vertical="center" wrapText="1"/>
      <protection locked="0"/>
    </xf>
    <xf numFmtId="173" fontId="3" fillId="0" borderId="16" xfId="0" applyNumberFormat="1" applyFont="1" applyBorder="1" applyAlignment="1" applyProtection="1">
      <alignment horizontal="center" vertical="center" wrapText="1"/>
      <protection locked="0"/>
    </xf>
    <xf numFmtId="0" fontId="26" fillId="32" borderId="10" xfId="0" applyFont="1" applyFill="1" applyBorder="1" applyAlignment="1">
      <alignment horizontal="center" vertical="center" wrapText="1"/>
    </xf>
    <xf numFmtId="0" fontId="2" fillId="0" borderId="12"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72" fillId="33" borderId="25" xfId="0" applyFont="1" applyFill="1" applyBorder="1" applyAlignment="1">
      <alignment horizontal="center" vertical="center" wrapText="1"/>
    </xf>
    <xf numFmtId="0" fontId="72" fillId="33" borderId="0" xfId="0" applyFont="1" applyFill="1" applyAlignment="1">
      <alignment horizontal="center" vertical="center" wrapText="1"/>
    </xf>
    <xf numFmtId="0" fontId="73" fillId="33" borderId="29" xfId="0" applyFont="1" applyFill="1" applyBorder="1" applyAlignment="1">
      <alignment horizontal="center" vertical="center" wrapText="1"/>
    </xf>
    <xf numFmtId="0" fontId="72" fillId="33" borderId="13" xfId="0" applyFont="1" applyFill="1" applyBorder="1" applyAlignment="1">
      <alignment horizontal="center" vertical="center" wrapText="1"/>
    </xf>
    <xf numFmtId="171" fontId="2" fillId="0" borderId="27" xfId="0" applyNumberFormat="1" applyFont="1" applyFill="1" applyBorder="1" applyAlignment="1">
      <alignment horizontal="center" vertical="center"/>
    </xf>
    <xf numFmtId="10" fontId="2" fillId="0" borderId="27" xfId="0" applyNumberFormat="1" applyFont="1" applyFill="1" applyBorder="1" applyAlignment="1">
      <alignment horizontal="center" vertical="center"/>
    </xf>
    <xf numFmtId="172" fontId="2" fillId="0" borderId="12" xfId="0" applyNumberFormat="1" applyFont="1" applyBorder="1" applyAlignment="1">
      <alignment horizontal="center" vertical="center"/>
    </xf>
    <xf numFmtId="0" fontId="72" fillId="33" borderId="27" xfId="0" applyFont="1" applyFill="1" applyBorder="1" applyAlignment="1">
      <alignment horizontal="center" vertical="center" wrapText="1"/>
    </xf>
    <xf numFmtId="1" fontId="23" fillId="0" borderId="16" xfId="0" applyNumberFormat="1" applyFont="1" applyBorder="1" applyAlignment="1">
      <alignment horizontal="center" vertical="center" wrapText="1"/>
    </xf>
    <xf numFmtId="0" fontId="4" fillId="32" borderId="32" xfId="0" applyFont="1" applyFill="1" applyBorder="1" applyAlignment="1">
      <alignment horizontal="center" vertical="center" wrapText="1"/>
    </xf>
    <xf numFmtId="172" fontId="2" fillId="0" borderId="10" xfId="0" applyNumberFormat="1" applyFont="1" applyBorder="1" applyAlignment="1">
      <alignment horizontal="center" vertical="center"/>
    </xf>
    <xf numFmtId="8" fontId="2" fillId="0" borderId="10" xfId="0" applyNumberFormat="1" applyFont="1" applyBorder="1" applyAlignment="1">
      <alignment horizontal="center" vertical="center"/>
    </xf>
    <xf numFmtId="0" fontId="72" fillId="33" borderId="2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172" fontId="23" fillId="0" borderId="16" xfId="0" applyNumberFormat="1" applyFont="1" applyBorder="1" applyAlignment="1">
      <alignment horizontal="center" vertical="center" wrapText="1"/>
    </xf>
    <xf numFmtId="8" fontId="2" fillId="0" borderId="12" xfId="0" applyNumberFormat="1" applyFont="1" applyBorder="1" applyAlignment="1" applyProtection="1">
      <alignment horizontal="center" vertical="center" wrapText="1"/>
      <protection locked="0"/>
    </xf>
    <xf numFmtId="172" fontId="23" fillId="0" borderId="10" xfId="0" applyNumberFormat="1" applyFont="1" applyBorder="1" applyAlignment="1">
      <alignment horizontal="center" vertical="center" wrapText="1"/>
    </xf>
    <xf numFmtId="0" fontId="72" fillId="33" borderId="12" xfId="0" applyNumberFormat="1" applyFont="1" applyFill="1" applyBorder="1" applyAlignment="1">
      <alignment horizontal="center" vertical="center" wrapText="1"/>
    </xf>
    <xf numFmtId="0" fontId="3" fillId="0" borderId="12" xfId="0" applyFont="1" applyBorder="1" applyAlignment="1">
      <alignment horizontal="center" vertical="center"/>
    </xf>
    <xf numFmtId="8" fontId="3" fillId="0" borderId="12" xfId="0" applyNumberFormat="1" applyFont="1" applyBorder="1" applyAlignment="1">
      <alignment horizontal="center" vertical="center"/>
    </xf>
    <xf numFmtId="0" fontId="0" fillId="0" borderId="12" xfId="0" applyNumberFormat="1" applyBorder="1" applyAlignment="1">
      <alignment horizontal="center" vertical="center" wrapText="1"/>
    </xf>
    <xf numFmtId="0" fontId="2" fillId="0" borderId="0" xfId="0" applyFont="1" applyAlignment="1">
      <alignment horizontal="left" vertical="top" wrapText="1"/>
    </xf>
    <xf numFmtId="0" fontId="0" fillId="0" borderId="0" xfId="0" applyFont="1" applyAlignment="1">
      <alignment wrapText="1"/>
    </xf>
    <xf numFmtId="0" fontId="0" fillId="0" borderId="0" xfId="0" applyFont="1" applyAlignment="1">
      <alignment/>
    </xf>
    <xf numFmtId="0" fontId="74" fillId="0" borderId="0" xfId="53" applyFont="1" applyAlignment="1">
      <alignment/>
    </xf>
    <xf numFmtId="0" fontId="0" fillId="0" borderId="0" xfId="0" applyAlignment="1">
      <alignment/>
    </xf>
    <xf numFmtId="0" fontId="1" fillId="0" borderId="0" xfId="0" applyFont="1" applyAlignment="1">
      <alignment horizontal="left" vertical="top" wrapText="1"/>
    </xf>
    <xf numFmtId="0" fontId="0" fillId="0" borderId="0" xfId="0" applyAlignment="1">
      <alignment horizontal="left" vertical="top" wrapText="1"/>
    </xf>
    <xf numFmtId="0" fontId="28" fillId="0" borderId="0" xfId="0" applyFont="1" applyAlignment="1">
      <alignment horizontal="center" vertical="center"/>
    </xf>
    <xf numFmtId="0" fontId="0" fillId="0" borderId="0" xfId="0" applyAlignment="1">
      <alignment horizontal="center" vertical="center"/>
    </xf>
    <xf numFmtId="0" fontId="17" fillId="0" borderId="24" xfId="0" applyFont="1" applyBorder="1" applyAlignment="1">
      <alignment horizontal="justify" vertical="top" wrapText="1"/>
    </xf>
    <xf numFmtId="0" fontId="15" fillId="0" borderId="24" xfId="0" applyFont="1" applyBorder="1" applyAlignment="1">
      <alignment horizontal="justify" vertical="top" wrapText="1"/>
    </xf>
    <xf numFmtId="0" fontId="20" fillId="0" borderId="0" xfId="0" applyFont="1" applyAlignment="1">
      <alignment horizontal="justify"/>
    </xf>
    <xf numFmtId="0" fontId="19" fillId="0" borderId="0" xfId="0" applyFont="1" applyAlignment="1">
      <alignment horizontal="justify"/>
    </xf>
    <xf numFmtId="0" fontId="14" fillId="0" borderId="24" xfId="0" applyFont="1" applyBorder="1" applyAlignment="1">
      <alignment horizontal="justify" vertical="top" wrapText="1"/>
    </xf>
    <xf numFmtId="0" fontId="14" fillId="0" borderId="0" xfId="0" applyFont="1" applyAlignment="1">
      <alignment horizontal="justify"/>
    </xf>
    <xf numFmtId="0" fontId="0" fillId="0" borderId="0" xfId="0" applyAlignment="1">
      <alignment horizontal="justify" vertical="top" wrapText="1"/>
    </xf>
    <xf numFmtId="0" fontId="9" fillId="0" borderId="19" xfId="0" applyFont="1" applyBorder="1" applyAlignment="1">
      <alignment horizontal="center" vertical="center" wrapText="1"/>
    </xf>
    <xf numFmtId="0" fontId="9" fillId="0" borderId="22" xfId="0" applyFont="1" applyBorder="1" applyAlignment="1">
      <alignment horizontal="center" vertical="center" wrapText="1"/>
    </xf>
    <xf numFmtId="0" fontId="10" fillId="32" borderId="19" xfId="0" applyFont="1" applyFill="1" applyBorder="1" applyAlignment="1">
      <alignment horizontal="center" vertical="center" wrapText="1"/>
    </xf>
    <xf numFmtId="0" fontId="10" fillId="32" borderId="22" xfId="0" applyFont="1" applyFill="1" applyBorder="1" applyAlignment="1">
      <alignment horizontal="center" vertical="center" wrapText="1"/>
    </xf>
    <xf numFmtId="0" fontId="10" fillId="32" borderId="20" xfId="0" applyFont="1" applyFill="1" applyBorder="1" applyAlignment="1">
      <alignment horizontal="center" vertical="center" wrapText="1"/>
    </xf>
    <xf numFmtId="0" fontId="10" fillId="32" borderId="21" xfId="0" applyFont="1" applyFill="1" applyBorder="1" applyAlignment="1">
      <alignment horizontal="center" vertical="center" wrapText="1"/>
    </xf>
    <xf numFmtId="0" fontId="0" fillId="0" borderId="0" xfId="0" applyAlignment="1">
      <alignment/>
    </xf>
    <xf numFmtId="0" fontId="13" fillId="0" borderId="0" xfId="0" applyFont="1" applyAlignment="1">
      <alignment horizontal="center" vertical="center"/>
    </xf>
    <xf numFmtId="0" fontId="9" fillId="0" borderId="0" xfId="0" applyFont="1" applyAlignment="1">
      <alignment horizontal="center" vertical="center"/>
    </xf>
    <xf numFmtId="0" fontId="4" fillId="32" borderId="18" xfId="0" applyFont="1" applyFill="1" applyBorder="1" applyAlignment="1">
      <alignment horizontal="center" vertical="center" wrapText="1"/>
    </xf>
    <xf numFmtId="0" fontId="0" fillId="0" borderId="33" xfId="0" applyBorder="1" applyAlignment="1">
      <alignment horizontal="center" vertical="center"/>
    </xf>
    <xf numFmtId="0" fontId="0" fillId="0" borderId="14" xfId="0" applyBorder="1" applyAlignment="1">
      <alignment horizontal="center" vertical="center"/>
    </xf>
    <xf numFmtId="0" fontId="2" fillId="0" borderId="34"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4" fillId="32" borderId="32" xfId="0" applyFont="1" applyFill="1" applyBorder="1" applyAlignment="1">
      <alignment horizontal="center" vertical="center" wrapText="1"/>
    </xf>
    <xf numFmtId="0" fontId="4" fillId="32" borderId="36"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0" fillId="0" borderId="14" xfId="0" applyBorder="1" applyAlignment="1">
      <alignment horizontal="center" vertical="center" wrapText="1"/>
    </xf>
    <xf numFmtId="0" fontId="1" fillId="0" borderId="2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 fillId="0" borderId="18" xfId="0" applyNumberFormat="1" applyFont="1" applyBorder="1" applyAlignment="1" applyProtection="1">
      <alignment horizontal="center" vertical="center" wrapText="1"/>
      <protection locked="0"/>
    </xf>
    <xf numFmtId="0" fontId="0" fillId="0" borderId="14" xfId="0" applyNumberFormat="1" applyFont="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7" fillId="0" borderId="0" xfId="0" applyFont="1" applyAlignment="1">
      <alignment horizontal="center" vertical="center"/>
    </xf>
    <xf numFmtId="0" fontId="1" fillId="0" borderId="18"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4" fillId="32" borderId="26" xfId="0" applyFont="1" applyFill="1" applyBorder="1" applyAlignment="1">
      <alignment horizontal="center" vertical="center" wrapText="1"/>
    </xf>
    <xf numFmtId="0" fontId="0" fillId="0" borderId="38" xfId="0" applyBorder="1" applyAlignment="1">
      <alignment horizontal="center" vertical="center" wrapText="1"/>
    </xf>
    <xf numFmtId="0" fontId="1" fillId="0" borderId="32"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4" fillId="33" borderId="14" xfId="0" applyFont="1" applyFill="1" applyBorder="1" applyAlignment="1">
      <alignment horizontal="center" vertical="center" wrapText="1"/>
    </xf>
    <xf numFmtId="0" fontId="2" fillId="0" borderId="24" xfId="0" applyFont="1" applyBorder="1" applyAlignment="1" applyProtection="1">
      <alignment horizontal="center" vertical="center" wrapText="1"/>
      <protection locked="0"/>
    </xf>
    <xf numFmtId="0" fontId="0" fillId="0" borderId="37" xfId="0" applyBorder="1" applyAlignment="1">
      <alignment horizontal="center" vertical="center" wrapText="1"/>
    </xf>
    <xf numFmtId="0" fontId="0" fillId="0" borderId="32" xfId="0" applyBorder="1" applyAlignment="1">
      <alignment horizontal="center" vertical="center" wrapText="1"/>
    </xf>
    <xf numFmtId="0" fontId="0" fillId="0" borderId="16" xfId="0" applyBorder="1" applyAlignment="1">
      <alignment horizontal="center" vertical="center" wrapText="1"/>
    </xf>
    <xf numFmtId="0" fontId="4" fillId="32" borderId="12" xfId="0" applyFont="1" applyFill="1" applyBorder="1" applyAlignment="1">
      <alignment horizontal="center" vertical="center" wrapText="1"/>
    </xf>
    <xf numFmtId="0" fontId="0" fillId="0" borderId="18" xfId="0" applyBorder="1" applyAlignment="1">
      <alignment/>
    </xf>
    <xf numFmtId="0" fontId="0" fillId="0" borderId="14" xfId="0" applyBorder="1" applyAlignment="1">
      <alignment/>
    </xf>
    <xf numFmtId="0" fontId="2" fillId="0" borderId="18" xfId="0" applyNumberFormat="1" applyFont="1" applyBorder="1" applyAlignment="1">
      <alignment horizontal="center" vertical="center" wrapText="1"/>
    </xf>
    <xf numFmtId="0" fontId="0" fillId="0" borderId="14" xfId="0" applyNumberFormat="1" applyBorder="1" applyAlignment="1">
      <alignment horizontal="center" vertical="center" wrapText="1"/>
    </xf>
    <xf numFmtId="0" fontId="25" fillId="0" borderId="0" xfId="0" applyFont="1" applyAlignment="1">
      <alignment horizontal="left" vertical="center"/>
    </xf>
    <xf numFmtId="0" fontId="9" fillId="0" borderId="0" xfId="0" applyFont="1" applyAlignment="1">
      <alignment horizontal="left" vertical="center"/>
    </xf>
    <xf numFmtId="0" fontId="0" fillId="0" borderId="0" xfId="0" applyAlignment="1">
      <alignment horizontal="left" vertical="center"/>
    </xf>
    <xf numFmtId="0" fontId="2" fillId="0" borderId="18" xfId="0" applyNumberFormat="1" applyFont="1" applyBorder="1" applyAlignment="1" applyProtection="1">
      <alignment horizontal="center" vertical="center" wrapText="1"/>
      <protection locked="0"/>
    </xf>
    <xf numFmtId="0" fontId="0" fillId="0" borderId="33" xfId="0" applyBorder="1" applyAlignment="1">
      <alignment horizontal="center" vertical="center" wrapText="1"/>
    </xf>
    <xf numFmtId="0" fontId="7" fillId="0" borderId="0" xfId="0" applyFont="1" applyAlignment="1" applyProtection="1">
      <alignment horizontal="center" vertical="center"/>
      <protection locked="0"/>
    </xf>
    <xf numFmtId="0" fontId="2" fillId="0" borderId="25" xfId="0" applyFont="1" applyBorder="1" applyAlignment="1">
      <alignment horizontal="left" vertical="top" wrapText="1"/>
    </xf>
    <xf numFmtId="0" fontId="0" fillId="0" borderId="39" xfId="0" applyBorder="1" applyAlignment="1">
      <alignment horizontal="left" vertical="top" wrapText="1"/>
    </xf>
    <xf numFmtId="0" fontId="0" fillId="0" borderId="10" xfId="0" applyBorder="1" applyAlignment="1">
      <alignment horizontal="left" vertical="top" wrapText="1"/>
    </xf>
    <xf numFmtId="0" fontId="7" fillId="0" borderId="0" xfId="0" applyFont="1" applyAlignment="1">
      <alignment/>
    </xf>
    <xf numFmtId="0" fontId="0" fillId="0" borderId="27" xfId="0" applyFont="1" applyBorder="1" applyAlignment="1">
      <alignment vertical="top" wrapText="1"/>
    </xf>
    <xf numFmtId="0" fontId="0" fillId="0" borderId="27"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essex.hee.nhs.uk/" TargetMode="External" /><Relationship Id="rId3" Type="http://schemas.openxmlformats.org/officeDocument/2006/relationships/hyperlink" Target="http://wessex.hee.nhs.uk/" TargetMode="External" /><Relationship Id="rId4"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581025</xdr:colOff>
      <xdr:row>1</xdr:row>
      <xdr:rowOff>28575</xdr:rowOff>
    </xdr:from>
    <xdr:to>
      <xdr:col>16</xdr:col>
      <xdr:colOff>533400</xdr:colOff>
      <xdr:row>2</xdr:row>
      <xdr:rowOff>438150</xdr:rowOff>
    </xdr:to>
    <xdr:pic>
      <xdr:nvPicPr>
        <xdr:cNvPr id="1" name="Picture 4" descr="Health Education Wessex">
          <a:hlinkClick r:id="rId3"/>
        </xdr:cNvPr>
        <xdr:cNvPicPr preferRelativeResize="1">
          <a:picLocks noChangeAspect="1"/>
        </xdr:cNvPicPr>
      </xdr:nvPicPr>
      <xdr:blipFill>
        <a:blip r:embed="rId1"/>
        <a:stretch>
          <a:fillRect/>
        </a:stretch>
      </xdr:blipFill>
      <xdr:spPr>
        <a:xfrm>
          <a:off x="9886950" y="190500"/>
          <a:ext cx="1171575" cy="476250"/>
        </a:xfrm>
        <a:prstGeom prst="rect">
          <a:avLst/>
        </a:prstGeom>
        <a:noFill/>
        <a:ln w="9525" cmpd="sng">
          <a:noFill/>
        </a:ln>
      </xdr:spPr>
    </xdr:pic>
    <xdr:clientData/>
  </xdr:twoCellAnchor>
  <xdr:twoCellAnchor editAs="oneCell">
    <xdr:from>
      <xdr:col>0</xdr:col>
      <xdr:colOff>0</xdr:colOff>
      <xdr:row>3</xdr:row>
      <xdr:rowOff>28575</xdr:rowOff>
    </xdr:from>
    <xdr:to>
      <xdr:col>1</xdr:col>
      <xdr:colOff>76200</xdr:colOff>
      <xdr:row>33</xdr:row>
      <xdr:rowOff>38100</xdr:rowOff>
    </xdr:to>
    <xdr:pic>
      <xdr:nvPicPr>
        <xdr:cNvPr id="2" name="Picture 6" descr="http://www.djhooker.com/images/king_egbert_wessex.jpg"/>
        <xdr:cNvPicPr preferRelativeResize="1">
          <a:picLocks noChangeAspect="1"/>
        </xdr:cNvPicPr>
      </xdr:nvPicPr>
      <xdr:blipFill>
        <a:blip r:embed="rId4"/>
        <a:stretch>
          <a:fillRect/>
        </a:stretch>
      </xdr:blipFill>
      <xdr:spPr>
        <a:xfrm>
          <a:off x="0" y="800100"/>
          <a:ext cx="1952625" cy="5381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48"/>
  </sheetPr>
  <dimension ref="C4:S34"/>
  <sheetViews>
    <sheetView showGridLines="0" showRowColHeaders="0" zoomScalePageLayoutView="0" workbookViewId="0" topLeftCell="A1">
      <selection activeCell="C5" sqref="C5:R34"/>
    </sheetView>
  </sheetViews>
  <sheetFormatPr defaultColWidth="9.140625" defaultRowHeight="12.75"/>
  <cols>
    <col min="1" max="1" width="28.140625" style="0" customWidth="1"/>
    <col min="2" max="2" width="1.7109375" style="0" customWidth="1"/>
    <col min="18" max="18" width="9.140625" style="0" customWidth="1"/>
  </cols>
  <sheetData>
    <row r="2" ht="5.25" customHeight="1"/>
    <row r="3" ht="42.75" customHeight="1"/>
    <row r="4" spans="4:18" ht="33.75">
      <c r="D4" s="13" t="s">
        <v>282</v>
      </c>
      <c r="O4" s="151" t="s">
        <v>354</v>
      </c>
      <c r="P4" s="152"/>
      <c r="Q4" s="152"/>
      <c r="R4" s="152"/>
    </row>
    <row r="5" spans="3:18" ht="12.75">
      <c r="C5" s="148" t="s">
        <v>361</v>
      </c>
      <c r="D5" s="149"/>
      <c r="E5" s="149"/>
      <c r="F5" s="149"/>
      <c r="G5" s="149"/>
      <c r="H5" s="149"/>
      <c r="I5" s="149"/>
      <c r="J5" s="149"/>
      <c r="K5" s="149"/>
      <c r="L5" s="149"/>
      <c r="M5" s="149"/>
      <c r="N5" s="149"/>
      <c r="O5" s="149"/>
      <c r="P5" s="149"/>
      <c r="Q5" s="149"/>
      <c r="R5" s="149"/>
    </row>
    <row r="6" spans="3:19" ht="15.75" customHeight="1">
      <c r="C6" s="149"/>
      <c r="D6" s="149"/>
      <c r="E6" s="149"/>
      <c r="F6" s="149"/>
      <c r="G6" s="149"/>
      <c r="H6" s="149"/>
      <c r="I6" s="149"/>
      <c r="J6" s="149"/>
      <c r="K6" s="149"/>
      <c r="L6" s="149"/>
      <c r="M6" s="149"/>
      <c r="N6" s="149"/>
      <c r="O6" s="149"/>
      <c r="P6" s="149"/>
      <c r="Q6" s="149"/>
      <c r="R6" s="149"/>
      <c r="S6" s="95"/>
    </row>
    <row r="7" spans="3:19" ht="15.75">
      <c r="C7" s="149"/>
      <c r="D7" s="149"/>
      <c r="E7" s="149"/>
      <c r="F7" s="149"/>
      <c r="G7" s="149"/>
      <c r="H7" s="149"/>
      <c r="I7" s="149"/>
      <c r="J7" s="149"/>
      <c r="K7" s="149"/>
      <c r="L7" s="149"/>
      <c r="M7" s="149"/>
      <c r="N7" s="149"/>
      <c r="O7" s="149"/>
      <c r="P7" s="149"/>
      <c r="Q7" s="149"/>
      <c r="R7" s="149"/>
      <c r="S7" s="95"/>
    </row>
    <row r="8" spans="3:19" ht="15.75">
      <c r="C8" s="149"/>
      <c r="D8" s="149"/>
      <c r="E8" s="149"/>
      <c r="F8" s="149"/>
      <c r="G8" s="149"/>
      <c r="H8" s="149"/>
      <c r="I8" s="149"/>
      <c r="J8" s="149"/>
      <c r="K8" s="149"/>
      <c r="L8" s="149"/>
      <c r="M8" s="149"/>
      <c r="N8" s="149"/>
      <c r="O8" s="149"/>
      <c r="P8" s="149"/>
      <c r="Q8" s="149"/>
      <c r="R8" s="149"/>
      <c r="S8" s="95"/>
    </row>
    <row r="9" spans="3:19" ht="15.75">
      <c r="C9" s="149"/>
      <c r="D9" s="149"/>
      <c r="E9" s="149"/>
      <c r="F9" s="149"/>
      <c r="G9" s="149"/>
      <c r="H9" s="149"/>
      <c r="I9" s="149"/>
      <c r="J9" s="149"/>
      <c r="K9" s="149"/>
      <c r="L9" s="149"/>
      <c r="M9" s="149"/>
      <c r="N9" s="149"/>
      <c r="O9" s="149"/>
      <c r="P9" s="149"/>
      <c r="Q9" s="149"/>
      <c r="R9" s="149"/>
      <c r="S9" s="95"/>
    </row>
    <row r="10" spans="3:18" ht="20.25" customHeight="1">
      <c r="C10" s="149"/>
      <c r="D10" s="149"/>
      <c r="E10" s="149"/>
      <c r="F10" s="149"/>
      <c r="G10" s="149"/>
      <c r="H10" s="149"/>
      <c r="I10" s="149"/>
      <c r="J10" s="149"/>
      <c r="K10" s="149"/>
      <c r="L10" s="149"/>
      <c r="M10" s="149"/>
      <c r="N10" s="149"/>
      <c r="O10" s="149"/>
      <c r="P10" s="149"/>
      <c r="Q10" s="149"/>
      <c r="R10" s="149"/>
    </row>
    <row r="11" spans="3:18" ht="12.75">
      <c r="C11" s="149"/>
      <c r="D11" s="149"/>
      <c r="E11" s="149"/>
      <c r="F11" s="149"/>
      <c r="G11" s="149"/>
      <c r="H11" s="149"/>
      <c r="I11" s="149"/>
      <c r="J11" s="149"/>
      <c r="K11" s="149"/>
      <c r="L11" s="149"/>
      <c r="M11" s="149"/>
      <c r="N11" s="149"/>
      <c r="O11" s="149"/>
      <c r="P11" s="149"/>
      <c r="Q11" s="149"/>
      <c r="R11" s="149"/>
    </row>
    <row r="12" spans="3:18" ht="12.75">
      <c r="C12" s="149"/>
      <c r="D12" s="149"/>
      <c r="E12" s="149"/>
      <c r="F12" s="149"/>
      <c r="G12" s="149"/>
      <c r="H12" s="149"/>
      <c r="I12" s="149"/>
      <c r="J12" s="149"/>
      <c r="K12" s="149"/>
      <c r="L12" s="149"/>
      <c r="M12" s="149"/>
      <c r="N12" s="149"/>
      <c r="O12" s="149"/>
      <c r="P12" s="149"/>
      <c r="Q12" s="149"/>
      <c r="R12" s="149"/>
    </row>
    <row r="13" spans="3:18" ht="12.75">
      <c r="C13" s="149"/>
      <c r="D13" s="149"/>
      <c r="E13" s="149"/>
      <c r="F13" s="149"/>
      <c r="G13" s="149"/>
      <c r="H13" s="149"/>
      <c r="I13" s="149"/>
      <c r="J13" s="149"/>
      <c r="K13" s="149"/>
      <c r="L13" s="149"/>
      <c r="M13" s="149"/>
      <c r="N13" s="149"/>
      <c r="O13" s="149"/>
      <c r="P13" s="149"/>
      <c r="Q13" s="149"/>
      <c r="R13" s="149"/>
    </row>
    <row r="14" spans="3:18" ht="12.75">
      <c r="C14" s="149"/>
      <c r="D14" s="149"/>
      <c r="E14" s="149"/>
      <c r="F14" s="149"/>
      <c r="G14" s="149"/>
      <c r="H14" s="149"/>
      <c r="I14" s="149"/>
      <c r="J14" s="149"/>
      <c r="K14" s="149"/>
      <c r="L14" s="149"/>
      <c r="M14" s="149"/>
      <c r="N14" s="149"/>
      <c r="O14" s="149"/>
      <c r="P14" s="149"/>
      <c r="Q14" s="149"/>
      <c r="R14" s="149"/>
    </row>
    <row r="15" spans="3:18" ht="12.75">
      <c r="C15" s="149"/>
      <c r="D15" s="149"/>
      <c r="E15" s="149"/>
      <c r="F15" s="149"/>
      <c r="G15" s="149"/>
      <c r="H15" s="149"/>
      <c r="I15" s="149"/>
      <c r="J15" s="149"/>
      <c r="K15" s="149"/>
      <c r="L15" s="149"/>
      <c r="M15" s="149"/>
      <c r="N15" s="149"/>
      <c r="O15" s="149"/>
      <c r="P15" s="149"/>
      <c r="Q15" s="149"/>
      <c r="R15" s="149"/>
    </row>
    <row r="16" spans="3:18" ht="12.75">
      <c r="C16" s="149"/>
      <c r="D16" s="149"/>
      <c r="E16" s="149"/>
      <c r="F16" s="149"/>
      <c r="G16" s="149"/>
      <c r="H16" s="149"/>
      <c r="I16" s="149"/>
      <c r="J16" s="149"/>
      <c r="K16" s="149"/>
      <c r="L16" s="149"/>
      <c r="M16" s="149"/>
      <c r="N16" s="149"/>
      <c r="O16" s="149"/>
      <c r="P16" s="149"/>
      <c r="Q16" s="149"/>
      <c r="R16" s="149"/>
    </row>
    <row r="17" spans="3:18" ht="12.75">
      <c r="C17" s="149"/>
      <c r="D17" s="149"/>
      <c r="E17" s="149"/>
      <c r="F17" s="149"/>
      <c r="G17" s="149"/>
      <c r="H17" s="149"/>
      <c r="I17" s="149"/>
      <c r="J17" s="149"/>
      <c r="K17" s="149"/>
      <c r="L17" s="149"/>
      <c r="M17" s="149"/>
      <c r="N17" s="149"/>
      <c r="O17" s="149"/>
      <c r="P17" s="149"/>
      <c r="Q17" s="149"/>
      <c r="R17" s="149"/>
    </row>
    <row r="18" spans="3:18" ht="12.75">
      <c r="C18" s="149"/>
      <c r="D18" s="149"/>
      <c r="E18" s="149"/>
      <c r="F18" s="149"/>
      <c r="G18" s="149"/>
      <c r="H18" s="149"/>
      <c r="I18" s="149"/>
      <c r="J18" s="149"/>
      <c r="K18" s="149"/>
      <c r="L18" s="149"/>
      <c r="M18" s="149"/>
      <c r="N18" s="149"/>
      <c r="O18" s="149"/>
      <c r="P18" s="149"/>
      <c r="Q18" s="149"/>
      <c r="R18" s="149"/>
    </row>
    <row r="19" spans="3:18" ht="12.75">
      <c r="C19" s="149"/>
      <c r="D19" s="149"/>
      <c r="E19" s="149"/>
      <c r="F19" s="149"/>
      <c r="G19" s="149"/>
      <c r="H19" s="149"/>
      <c r="I19" s="149"/>
      <c r="J19" s="149"/>
      <c r="K19" s="149"/>
      <c r="L19" s="149"/>
      <c r="M19" s="149"/>
      <c r="N19" s="149"/>
      <c r="O19" s="149"/>
      <c r="P19" s="149"/>
      <c r="Q19" s="149"/>
      <c r="R19" s="149"/>
    </row>
    <row r="20" spans="3:18" ht="12.75">
      <c r="C20" s="149"/>
      <c r="D20" s="149"/>
      <c r="E20" s="149"/>
      <c r="F20" s="149"/>
      <c r="G20" s="149"/>
      <c r="H20" s="149"/>
      <c r="I20" s="149"/>
      <c r="J20" s="149"/>
      <c r="K20" s="149"/>
      <c r="L20" s="149"/>
      <c r="M20" s="149"/>
      <c r="N20" s="149"/>
      <c r="O20" s="149"/>
      <c r="P20" s="149"/>
      <c r="Q20" s="149"/>
      <c r="R20" s="149"/>
    </row>
    <row r="21" spans="3:18" ht="12.75">
      <c r="C21" s="149"/>
      <c r="D21" s="149"/>
      <c r="E21" s="149"/>
      <c r="F21" s="149"/>
      <c r="G21" s="149"/>
      <c r="H21" s="149"/>
      <c r="I21" s="149"/>
      <c r="J21" s="149"/>
      <c r="K21" s="149"/>
      <c r="L21" s="149"/>
      <c r="M21" s="149"/>
      <c r="N21" s="149"/>
      <c r="O21" s="149"/>
      <c r="P21" s="149"/>
      <c r="Q21" s="149"/>
      <c r="R21" s="149"/>
    </row>
    <row r="22" spans="3:18" ht="12.75">
      <c r="C22" s="149"/>
      <c r="D22" s="149"/>
      <c r="E22" s="149"/>
      <c r="F22" s="149"/>
      <c r="G22" s="149"/>
      <c r="H22" s="149"/>
      <c r="I22" s="149"/>
      <c r="J22" s="149"/>
      <c r="K22" s="149"/>
      <c r="L22" s="149"/>
      <c r="M22" s="149"/>
      <c r="N22" s="149"/>
      <c r="O22" s="149"/>
      <c r="P22" s="149"/>
      <c r="Q22" s="149"/>
      <c r="R22" s="149"/>
    </row>
    <row r="23" spans="3:18" ht="12.75">
      <c r="C23" s="149"/>
      <c r="D23" s="149"/>
      <c r="E23" s="149"/>
      <c r="F23" s="149"/>
      <c r="G23" s="149"/>
      <c r="H23" s="149"/>
      <c r="I23" s="149"/>
      <c r="J23" s="149"/>
      <c r="K23" s="149"/>
      <c r="L23" s="149"/>
      <c r="M23" s="149"/>
      <c r="N23" s="149"/>
      <c r="O23" s="149"/>
      <c r="P23" s="149"/>
      <c r="Q23" s="149"/>
      <c r="R23" s="149"/>
    </row>
    <row r="24" spans="3:18" ht="12.75">
      <c r="C24" s="149"/>
      <c r="D24" s="149"/>
      <c r="E24" s="149"/>
      <c r="F24" s="149"/>
      <c r="G24" s="149"/>
      <c r="H24" s="149"/>
      <c r="I24" s="149"/>
      <c r="J24" s="149"/>
      <c r="K24" s="149"/>
      <c r="L24" s="149"/>
      <c r="M24" s="149"/>
      <c r="N24" s="149"/>
      <c r="O24" s="149"/>
      <c r="P24" s="149"/>
      <c r="Q24" s="149"/>
      <c r="R24" s="149"/>
    </row>
    <row r="25" spans="3:18" ht="12.75">
      <c r="C25" s="149"/>
      <c r="D25" s="149"/>
      <c r="E25" s="149"/>
      <c r="F25" s="149"/>
      <c r="G25" s="149"/>
      <c r="H25" s="149"/>
      <c r="I25" s="149"/>
      <c r="J25" s="149"/>
      <c r="K25" s="149"/>
      <c r="L25" s="149"/>
      <c r="M25" s="149"/>
      <c r="N25" s="149"/>
      <c r="O25" s="149"/>
      <c r="P25" s="149"/>
      <c r="Q25" s="149"/>
      <c r="R25" s="149"/>
    </row>
    <row r="26" spans="3:18" ht="12.75">
      <c r="C26" s="149"/>
      <c r="D26" s="149"/>
      <c r="E26" s="149"/>
      <c r="F26" s="149"/>
      <c r="G26" s="149"/>
      <c r="H26" s="149"/>
      <c r="I26" s="149"/>
      <c r="J26" s="149"/>
      <c r="K26" s="149"/>
      <c r="L26" s="149"/>
      <c r="M26" s="149"/>
      <c r="N26" s="149"/>
      <c r="O26" s="149"/>
      <c r="P26" s="149"/>
      <c r="Q26" s="149"/>
      <c r="R26" s="149"/>
    </row>
    <row r="27" spans="3:18" ht="12.75">
      <c r="C27" s="149"/>
      <c r="D27" s="149"/>
      <c r="E27" s="149"/>
      <c r="F27" s="149"/>
      <c r="G27" s="149"/>
      <c r="H27" s="149"/>
      <c r="I27" s="149"/>
      <c r="J27" s="149"/>
      <c r="K27" s="149"/>
      <c r="L27" s="149"/>
      <c r="M27" s="149"/>
      <c r="N27" s="149"/>
      <c r="O27" s="149"/>
      <c r="P27" s="149"/>
      <c r="Q27" s="149"/>
      <c r="R27" s="149"/>
    </row>
    <row r="28" spans="3:18" ht="12.75">
      <c r="C28" s="149"/>
      <c r="D28" s="149"/>
      <c r="E28" s="149"/>
      <c r="F28" s="149"/>
      <c r="G28" s="149"/>
      <c r="H28" s="149"/>
      <c r="I28" s="149"/>
      <c r="J28" s="149"/>
      <c r="K28" s="149"/>
      <c r="L28" s="149"/>
      <c r="M28" s="149"/>
      <c r="N28" s="149"/>
      <c r="O28" s="149"/>
      <c r="P28" s="149"/>
      <c r="Q28" s="149"/>
      <c r="R28" s="149"/>
    </row>
    <row r="29" spans="3:18" ht="12.75">
      <c r="C29" s="149"/>
      <c r="D29" s="149"/>
      <c r="E29" s="149"/>
      <c r="F29" s="149"/>
      <c r="G29" s="149"/>
      <c r="H29" s="149"/>
      <c r="I29" s="149"/>
      <c r="J29" s="149"/>
      <c r="K29" s="149"/>
      <c r="L29" s="149"/>
      <c r="M29" s="149"/>
      <c r="N29" s="149"/>
      <c r="O29" s="149"/>
      <c r="P29" s="149"/>
      <c r="Q29" s="149"/>
      <c r="R29" s="149"/>
    </row>
    <row r="30" spans="3:18" ht="12.75">
      <c r="C30" s="149"/>
      <c r="D30" s="149"/>
      <c r="E30" s="149"/>
      <c r="F30" s="149"/>
      <c r="G30" s="149"/>
      <c r="H30" s="149"/>
      <c r="I30" s="149"/>
      <c r="J30" s="149"/>
      <c r="K30" s="149"/>
      <c r="L30" s="149"/>
      <c r="M30" s="149"/>
      <c r="N30" s="149"/>
      <c r="O30" s="149"/>
      <c r="P30" s="149"/>
      <c r="Q30" s="149"/>
      <c r="R30" s="149"/>
    </row>
    <row r="31" spans="3:18" ht="12.75">
      <c r="C31" s="149"/>
      <c r="D31" s="149"/>
      <c r="E31" s="149"/>
      <c r="F31" s="149"/>
      <c r="G31" s="149"/>
      <c r="H31" s="149"/>
      <c r="I31" s="149"/>
      <c r="J31" s="149"/>
      <c r="K31" s="149"/>
      <c r="L31" s="149"/>
      <c r="M31" s="149"/>
      <c r="N31" s="149"/>
      <c r="O31" s="149"/>
      <c r="P31" s="149"/>
      <c r="Q31" s="149"/>
      <c r="R31" s="149"/>
    </row>
    <row r="32" spans="3:18" ht="12.75">
      <c r="C32" s="149"/>
      <c r="D32" s="149"/>
      <c r="E32" s="149"/>
      <c r="F32" s="149"/>
      <c r="G32" s="149"/>
      <c r="H32" s="149"/>
      <c r="I32" s="149"/>
      <c r="J32" s="149"/>
      <c r="K32" s="149"/>
      <c r="L32" s="149"/>
      <c r="M32" s="149"/>
      <c r="N32" s="149"/>
      <c r="O32" s="149"/>
      <c r="P32" s="149"/>
      <c r="Q32" s="149"/>
      <c r="R32" s="149"/>
    </row>
    <row r="33" spans="3:18" ht="12.75">
      <c r="C33" s="149"/>
      <c r="D33" s="149"/>
      <c r="E33" s="149"/>
      <c r="F33" s="149"/>
      <c r="G33" s="149"/>
      <c r="H33" s="149"/>
      <c r="I33" s="149"/>
      <c r="J33" s="149"/>
      <c r="K33" s="149"/>
      <c r="L33" s="149"/>
      <c r="M33" s="149"/>
      <c r="N33" s="149"/>
      <c r="O33" s="149"/>
      <c r="P33" s="149"/>
      <c r="Q33" s="149"/>
      <c r="R33" s="149"/>
    </row>
    <row r="34" spans="3:18" ht="12.75">
      <c r="C34" s="150"/>
      <c r="D34" s="150"/>
      <c r="E34" s="150"/>
      <c r="F34" s="150"/>
      <c r="G34" s="150"/>
      <c r="H34" s="150"/>
      <c r="I34" s="150"/>
      <c r="J34" s="150"/>
      <c r="K34" s="150"/>
      <c r="L34" s="150"/>
      <c r="M34" s="150"/>
      <c r="N34" s="150"/>
      <c r="O34" s="150"/>
      <c r="P34" s="150"/>
      <c r="Q34" s="150"/>
      <c r="R34" s="150"/>
    </row>
  </sheetData>
  <sheetProtection password="CF68" sheet="1" selectLockedCells="1" selectUnlockedCells="1"/>
  <mergeCells count="2">
    <mergeCell ref="C5:R34"/>
    <mergeCell ref="O4:R4"/>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G116"/>
  <sheetViews>
    <sheetView showGridLines="0" showRowColHeaders="0" zoomScalePageLayoutView="0" workbookViewId="0" topLeftCell="A16">
      <selection activeCell="A2" sqref="A2:F2"/>
    </sheetView>
  </sheetViews>
  <sheetFormatPr defaultColWidth="9.140625" defaultRowHeight="12.75"/>
  <cols>
    <col min="1" max="6" width="23.7109375" style="0" customWidth="1"/>
  </cols>
  <sheetData>
    <row r="1" spans="2:6" ht="51.75" customHeight="1">
      <c r="B1" s="155" t="s">
        <v>308</v>
      </c>
      <c r="C1" s="156"/>
      <c r="D1" s="156"/>
      <c r="E1" s="156"/>
      <c r="F1" s="152"/>
    </row>
    <row r="2" spans="1:7" ht="300.75" customHeight="1">
      <c r="A2" s="153" t="s">
        <v>310</v>
      </c>
      <c r="B2" s="154"/>
      <c r="C2" s="154"/>
      <c r="D2" s="154"/>
      <c r="E2" s="154"/>
      <c r="F2" s="154"/>
      <c r="G2" s="107"/>
    </row>
    <row r="3" ht="41.25" customHeight="1">
      <c r="B3" s="25" t="s">
        <v>309</v>
      </c>
    </row>
    <row r="4" spans="1:6" ht="47.25" customHeight="1" thickBot="1">
      <c r="A4" s="171" t="s">
        <v>20</v>
      </c>
      <c r="B4" s="172"/>
      <c r="C4" s="172"/>
      <c r="D4" s="172"/>
      <c r="E4" s="172"/>
      <c r="F4" s="172"/>
    </row>
    <row r="5" spans="1:6" ht="59.25" customHeight="1">
      <c r="A5" s="15" t="s">
        <v>21</v>
      </c>
      <c r="B5" s="168" t="s">
        <v>23</v>
      </c>
      <c r="C5" s="168" t="s">
        <v>24</v>
      </c>
      <c r="D5" s="168" t="s">
        <v>25</v>
      </c>
      <c r="E5" s="168" t="s">
        <v>26</v>
      </c>
      <c r="F5" s="16" t="s">
        <v>27</v>
      </c>
    </row>
    <row r="6" spans="1:6" ht="18">
      <c r="A6" s="18"/>
      <c r="B6" s="169"/>
      <c r="C6" s="169"/>
      <c r="D6" s="169"/>
      <c r="E6" s="169"/>
      <c r="F6" s="19" t="s">
        <v>28</v>
      </c>
    </row>
    <row r="7" spans="1:6" ht="30" customHeight="1" thickBot="1">
      <c r="A7" s="20" t="s">
        <v>22</v>
      </c>
      <c r="B7" s="167"/>
      <c r="C7" s="167"/>
      <c r="D7" s="167"/>
      <c r="E7" s="167"/>
      <c r="F7" s="21"/>
    </row>
    <row r="8" spans="1:6" ht="54">
      <c r="A8" s="166" t="s">
        <v>29</v>
      </c>
      <c r="B8" s="17" t="s">
        <v>30</v>
      </c>
      <c r="C8" s="164" t="s">
        <v>32</v>
      </c>
      <c r="D8" s="17" t="s">
        <v>33</v>
      </c>
      <c r="E8" s="17" t="s">
        <v>35</v>
      </c>
      <c r="F8" s="164" t="s">
        <v>37</v>
      </c>
    </row>
    <row r="9" spans="1:6" ht="39.75" customHeight="1" thickBot="1">
      <c r="A9" s="167"/>
      <c r="B9" s="22" t="s">
        <v>31</v>
      </c>
      <c r="C9" s="165"/>
      <c r="D9" s="22" t="s">
        <v>34</v>
      </c>
      <c r="E9" s="22" t="s">
        <v>36</v>
      </c>
      <c r="F9" s="165"/>
    </row>
    <row r="10" spans="1:6" ht="79.5" customHeight="1" thickBot="1">
      <c r="A10" s="23" t="s">
        <v>38</v>
      </c>
      <c r="B10" s="24" t="s">
        <v>39</v>
      </c>
      <c r="C10" s="24" t="s">
        <v>40</v>
      </c>
      <c r="D10" s="24" t="s">
        <v>41</v>
      </c>
      <c r="E10" s="24" t="s">
        <v>42</v>
      </c>
      <c r="F10" s="24" t="s">
        <v>43</v>
      </c>
    </row>
    <row r="11" spans="1:6" ht="66" customHeight="1" thickBot="1">
      <c r="A11" s="23" t="s">
        <v>44</v>
      </c>
      <c r="B11" s="24" t="s">
        <v>45</v>
      </c>
      <c r="C11" s="24" t="s">
        <v>46</v>
      </c>
      <c r="D11" s="24" t="s">
        <v>47</v>
      </c>
      <c r="E11" s="24" t="s">
        <v>48</v>
      </c>
      <c r="F11" s="24" t="s">
        <v>49</v>
      </c>
    </row>
    <row r="12" spans="1:6" ht="52.5" customHeight="1" thickBot="1">
      <c r="A12" s="23" t="s">
        <v>50</v>
      </c>
      <c r="B12" s="24" t="s">
        <v>51</v>
      </c>
      <c r="C12" s="24" t="s">
        <v>52</v>
      </c>
      <c r="D12" s="24" t="s">
        <v>53</v>
      </c>
      <c r="E12" s="24" t="s">
        <v>54</v>
      </c>
      <c r="F12" s="24" t="s">
        <v>55</v>
      </c>
    </row>
    <row r="13" spans="1:6" ht="105" customHeight="1">
      <c r="A13" s="166" t="s">
        <v>56</v>
      </c>
      <c r="B13" s="164" t="s">
        <v>57</v>
      </c>
      <c r="C13" s="164" t="s">
        <v>58</v>
      </c>
      <c r="D13" s="164" t="s">
        <v>59</v>
      </c>
      <c r="E13" s="164" t="s">
        <v>60</v>
      </c>
      <c r="F13" s="17" t="s">
        <v>61</v>
      </c>
    </row>
    <row r="14" spans="1:6" ht="18.75" thickBot="1">
      <c r="A14" s="167"/>
      <c r="B14" s="165"/>
      <c r="C14" s="165"/>
      <c r="D14" s="165"/>
      <c r="E14" s="165"/>
      <c r="F14" s="22" t="s">
        <v>62</v>
      </c>
    </row>
    <row r="16" ht="18">
      <c r="A16" s="29" t="s">
        <v>147</v>
      </c>
    </row>
    <row r="19" spans="1:5" ht="13.5">
      <c r="A19" s="162" t="s">
        <v>63</v>
      </c>
      <c r="B19" s="152"/>
      <c r="C19" s="152"/>
      <c r="D19" s="152"/>
      <c r="E19" s="152"/>
    </row>
    <row r="20" spans="1:5" ht="12.75">
      <c r="A20" s="161" t="s">
        <v>64</v>
      </c>
      <c r="B20" s="152"/>
      <c r="C20" s="152"/>
      <c r="D20" s="152"/>
      <c r="E20" s="152"/>
    </row>
    <row r="21" spans="1:5" ht="12.75">
      <c r="A21" s="158" t="s">
        <v>65</v>
      </c>
      <c r="B21" s="152"/>
      <c r="C21" s="152"/>
      <c r="D21" s="152"/>
      <c r="E21" s="152"/>
    </row>
    <row r="22" spans="1:5" ht="12.75">
      <c r="A22" s="157" t="s">
        <v>66</v>
      </c>
      <c r="B22" s="152"/>
      <c r="C22" s="152"/>
      <c r="D22" s="152"/>
      <c r="E22" s="152"/>
    </row>
    <row r="23" spans="1:5" ht="12.75" customHeight="1">
      <c r="A23" s="158" t="s">
        <v>67</v>
      </c>
      <c r="B23" s="170"/>
      <c r="C23" s="170"/>
      <c r="D23" s="170"/>
      <c r="E23" s="170"/>
    </row>
    <row r="24" spans="1:5" ht="12.75">
      <c r="A24" s="157" t="s">
        <v>68</v>
      </c>
      <c r="B24" s="152"/>
      <c r="C24" s="152"/>
      <c r="D24" s="152"/>
      <c r="E24" s="152"/>
    </row>
    <row r="25" spans="1:5" ht="12.75">
      <c r="A25" s="157" t="s">
        <v>69</v>
      </c>
      <c r="B25" s="152"/>
      <c r="C25" s="152"/>
      <c r="D25" s="152"/>
      <c r="E25" s="152"/>
    </row>
    <row r="26" spans="1:5" ht="12.75">
      <c r="A26" s="158" t="s">
        <v>70</v>
      </c>
      <c r="B26" s="152"/>
      <c r="C26" s="152"/>
      <c r="D26" s="152"/>
      <c r="E26" s="152"/>
    </row>
    <row r="27" spans="1:5" ht="12.75">
      <c r="A27" s="157" t="s">
        <v>71</v>
      </c>
      <c r="B27" s="152"/>
      <c r="C27" s="152"/>
      <c r="D27" s="152"/>
      <c r="E27" s="152"/>
    </row>
    <row r="28" spans="1:5" ht="12.75">
      <c r="A28" s="157" t="s">
        <v>72</v>
      </c>
      <c r="B28" s="152"/>
      <c r="C28" s="152"/>
      <c r="D28" s="152"/>
      <c r="E28" s="152"/>
    </row>
    <row r="29" spans="1:5" ht="12.75">
      <c r="A29" s="158" t="s">
        <v>73</v>
      </c>
      <c r="B29" s="152"/>
      <c r="C29" s="152"/>
      <c r="D29" s="152"/>
      <c r="E29" s="152"/>
    </row>
    <row r="30" spans="1:5" ht="12.75">
      <c r="A30" s="157" t="s">
        <v>74</v>
      </c>
      <c r="B30" s="163"/>
      <c r="C30" s="163"/>
      <c r="D30" s="163"/>
      <c r="E30" s="163"/>
    </row>
    <row r="31" spans="1:5" ht="12.75">
      <c r="A31" s="158" t="s">
        <v>75</v>
      </c>
      <c r="B31" s="152"/>
      <c r="C31" s="152"/>
      <c r="D31" s="152"/>
      <c r="E31" s="152"/>
    </row>
    <row r="32" spans="1:5" ht="12.75">
      <c r="A32" s="157" t="s">
        <v>76</v>
      </c>
      <c r="B32" s="152"/>
      <c r="C32" s="152"/>
      <c r="D32" s="152"/>
      <c r="E32" s="152"/>
    </row>
    <row r="33" spans="1:5" ht="12.75">
      <c r="A33" s="158" t="s">
        <v>77</v>
      </c>
      <c r="B33" s="152"/>
      <c r="C33" s="152"/>
      <c r="D33" s="152"/>
      <c r="E33" s="152"/>
    </row>
    <row r="34" spans="1:5" ht="12.75">
      <c r="A34" s="157" t="s">
        <v>78</v>
      </c>
      <c r="B34" s="152"/>
      <c r="C34" s="152"/>
      <c r="D34" s="152"/>
      <c r="E34" s="152"/>
    </row>
    <row r="35" spans="1:5" ht="12.75">
      <c r="A35" s="157" t="s">
        <v>79</v>
      </c>
      <c r="B35" s="152"/>
      <c r="C35" s="152"/>
      <c r="D35" s="152"/>
      <c r="E35" s="152"/>
    </row>
    <row r="36" spans="1:5" ht="12.75">
      <c r="A36" s="158" t="s">
        <v>80</v>
      </c>
      <c r="B36" s="152"/>
      <c r="C36" s="152"/>
      <c r="D36" s="152"/>
      <c r="E36" s="152"/>
    </row>
    <row r="37" spans="1:5" ht="12.75">
      <c r="A37" s="157" t="s">
        <v>81</v>
      </c>
      <c r="B37" s="152"/>
      <c r="C37" s="152"/>
      <c r="D37" s="152"/>
      <c r="E37" s="152"/>
    </row>
    <row r="38" spans="1:5" ht="12.75">
      <c r="A38" s="158" t="s">
        <v>82</v>
      </c>
      <c r="B38" s="152"/>
      <c r="C38" s="152"/>
      <c r="D38" s="152"/>
      <c r="E38" s="152"/>
    </row>
    <row r="39" spans="1:5" ht="12.75">
      <c r="A39" s="157" t="s">
        <v>83</v>
      </c>
      <c r="B39" s="152"/>
      <c r="C39" s="152"/>
      <c r="D39" s="152"/>
      <c r="E39" s="152"/>
    </row>
    <row r="40" spans="1:5" ht="12.75">
      <c r="A40" s="157" t="s">
        <v>84</v>
      </c>
      <c r="B40" s="152"/>
      <c r="C40" s="152"/>
      <c r="D40" s="152"/>
      <c r="E40" s="152"/>
    </row>
    <row r="41" spans="1:5" ht="12.75">
      <c r="A41" s="158" t="s">
        <v>85</v>
      </c>
      <c r="B41" s="152"/>
      <c r="C41" s="152"/>
      <c r="D41" s="152"/>
      <c r="E41" s="152"/>
    </row>
    <row r="42" spans="1:5" ht="12.75">
      <c r="A42" s="157" t="s">
        <v>86</v>
      </c>
      <c r="B42" s="152"/>
      <c r="C42" s="152"/>
      <c r="D42" s="152"/>
      <c r="E42" s="152"/>
    </row>
    <row r="43" spans="1:5" ht="12.75">
      <c r="A43" s="157" t="s">
        <v>87</v>
      </c>
      <c r="B43" s="152"/>
      <c r="C43" s="152"/>
      <c r="D43" s="152"/>
      <c r="E43" s="152"/>
    </row>
    <row r="44" ht="15">
      <c r="A44" s="26"/>
    </row>
    <row r="45" spans="1:5" ht="12.75">
      <c r="A45" s="161" t="s">
        <v>88</v>
      </c>
      <c r="B45" s="152"/>
      <c r="C45" s="152"/>
      <c r="D45" s="152"/>
      <c r="E45" s="152"/>
    </row>
    <row r="46" spans="1:5" ht="12.75">
      <c r="A46" s="158" t="s">
        <v>89</v>
      </c>
      <c r="B46" s="152"/>
      <c r="C46" s="152"/>
      <c r="D46" s="152"/>
      <c r="E46" s="152"/>
    </row>
    <row r="47" spans="1:5" ht="12.75">
      <c r="A47" s="157" t="s">
        <v>90</v>
      </c>
      <c r="B47" s="152"/>
      <c r="C47" s="152"/>
      <c r="D47" s="152"/>
      <c r="E47" s="152"/>
    </row>
    <row r="48" spans="1:5" ht="12.75">
      <c r="A48" s="158" t="s">
        <v>91</v>
      </c>
      <c r="B48" s="152"/>
      <c r="C48" s="152"/>
      <c r="D48" s="152"/>
      <c r="E48" s="152"/>
    </row>
    <row r="49" spans="1:5" ht="12.75">
      <c r="A49" s="157" t="s">
        <v>92</v>
      </c>
      <c r="B49" s="152"/>
      <c r="C49" s="152"/>
      <c r="D49" s="152"/>
      <c r="E49" s="152"/>
    </row>
    <row r="50" spans="1:5" ht="12.75">
      <c r="A50" s="158" t="s">
        <v>93</v>
      </c>
      <c r="B50" s="152"/>
      <c r="C50" s="152"/>
      <c r="D50" s="152"/>
      <c r="E50" s="152"/>
    </row>
    <row r="51" spans="1:5" ht="12.75">
      <c r="A51" s="157" t="s">
        <v>94</v>
      </c>
      <c r="B51" s="152"/>
      <c r="C51" s="152"/>
      <c r="D51" s="152"/>
      <c r="E51" s="152"/>
    </row>
    <row r="52" spans="1:5" ht="12.75">
      <c r="A52" s="158" t="s">
        <v>95</v>
      </c>
      <c r="B52" s="152"/>
      <c r="C52" s="152"/>
      <c r="D52" s="152"/>
      <c r="E52" s="152"/>
    </row>
    <row r="53" spans="1:5" ht="12.75">
      <c r="A53" s="157" t="s">
        <v>96</v>
      </c>
      <c r="B53" s="152"/>
      <c r="C53" s="152"/>
      <c r="D53" s="152"/>
      <c r="E53" s="152"/>
    </row>
    <row r="54" spans="1:5" ht="12.75">
      <c r="A54" s="157" t="s">
        <v>97</v>
      </c>
      <c r="B54" s="152"/>
      <c r="C54" s="152"/>
      <c r="D54" s="152"/>
      <c r="E54" s="152"/>
    </row>
    <row r="55" spans="1:5" ht="12.75">
      <c r="A55" s="157" t="s">
        <v>98</v>
      </c>
      <c r="B55" s="152"/>
      <c r="C55" s="152"/>
      <c r="D55" s="152"/>
      <c r="E55" s="152"/>
    </row>
    <row r="56" spans="1:5" ht="12.75">
      <c r="A56" s="158" t="s">
        <v>99</v>
      </c>
      <c r="B56" s="152"/>
      <c r="C56" s="152"/>
      <c r="D56" s="152"/>
      <c r="E56" s="152"/>
    </row>
    <row r="57" spans="1:5" ht="12.75">
      <c r="A57" s="157" t="s">
        <v>100</v>
      </c>
      <c r="B57" s="152"/>
      <c r="C57" s="152"/>
      <c r="D57" s="152"/>
      <c r="E57" s="152"/>
    </row>
    <row r="58" spans="1:5" ht="12.75">
      <c r="A58" s="158" t="s">
        <v>101</v>
      </c>
      <c r="B58" s="152"/>
      <c r="C58" s="152"/>
      <c r="D58" s="152"/>
      <c r="E58" s="152"/>
    </row>
    <row r="59" spans="1:5" ht="12.75">
      <c r="A59" s="157" t="s">
        <v>102</v>
      </c>
      <c r="B59" s="152"/>
      <c r="C59" s="152"/>
      <c r="D59" s="152"/>
      <c r="E59" s="152"/>
    </row>
    <row r="60" spans="1:5" ht="12.75">
      <c r="A60" s="158" t="s">
        <v>103</v>
      </c>
      <c r="B60" s="152"/>
      <c r="C60" s="152"/>
      <c r="D60" s="152"/>
      <c r="E60" s="152"/>
    </row>
    <row r="61" spans="1:5" ht="12.75">
      <c r="A61" s="157" t="s">
        <v>104</v>
      </c>
      <c r="B61" s="152"/>
      <c r="C61" s="152"/>
      <c r="D61" s="152"/>
      <c r="E61" s="152"/>
    </row>
    <row r="62" spans="1:5" ht="15">
      <c r="A62" s="28"/>
      <c r="B62" s="14"/>
      <c r="C62" s="14"/>
      <c r="D62" s="14"/>
      <c r="E62" s="14"/>
    </row>
    <row r="63" spans="1:5" ht="12.75">
      <c r="A63" s="161" t="s">
        <v>105</v>
      </c>
      <c r="B63" s="152"/>
      <c r="C63" s="152"/>
      <c r="D63" s="152"/>
      <c r="E63" s="152"/>
    </row>
    <row r="64" spans="1:5" ht="12.75">
      <c r="A64" s="158" t="s">
        <v>106</v>
      </c>
      <c r="B64" s="152"/>
      <c r="C64" s="152"/>
      <c r="D64" s="152"/>
      <c r="E64" s="152"/>
    </row>
    <row r="65" spans="1:5" ht="12.75">
      <c r="A65" s="157" t="s">
        <v>107</v>
      </c>
      <c r="B65" s="152"/>
      <c r="C65" s="152"/>
      <c r="D65" s="152"/>
      <c r="E65" s="152"/>
    </row>
    <row r="66" spans="1:5" ht="12.75">
      <c r="A66" s="158" t="s">
        <v>108</v>
      </c>
      <c r="B66" s="152"/>
      <c r="C66" s="152"/>
      <c r="D66" s="152"/>
      <c r="E66" s="152"/>
    </row>
    <row r="67" spans="1:5" ht="12.75">
      <c r="A67" s="157" t="s">
        <v>109</v>
      </c>
      <c r="B67" s="152"/>
      <c r="C67" s="152"/>
      <c r="D67" s="152"/>
      <c r="E67" s="152"/>
    </row>
    <row r="68" spans="1:5" ht="12.75">
      <c r="A68" s="158" t="s">
        <v>110</v>
      </c>
      <c r="B68" s="152"/>
      <c r="C68" s="152"/>
      <c r="D68" s="152"/>
      <c r="E68" s="152"/>
    </row>
    <row r="69" spans="1:5" ht="12.75">
      <c r="A69" s="157" t="s">
        <v>111</v>
      </c>
      <c r="B69" s="152"/>
      <c r="C69" s="152"/>
      <c r="D69" s="152"/>
      <c r="E69" s="152"/>
    </row>
    <row r="70" spans="1:5" ht="12.75">
      <c r="A70" s="158" t="s">
        <v>112</v>
      </c>
      <c r="B70" s="152"/>
      <c r="C70" s="152"/>
      <c r="D70" s="152"/>
      <c r="E70" s="152"/>
    </row>
    <row r="71" spans="1:5" ht="12.75">
      <c r="A71" s="157" t="s">
        <v>113</v>
      </c>
      <c r="B71" s="152"/>
      <c r="C71" s="152"/>
      <c r="D71" s="152"/>
      <c r="E71" s="152"/>
    </row>
    <row r="72" spans="1:5" ht="12.75">
      <c r="A72" s="158" t="s">
        <v>114</v>
      </c>
      <c r="B72" s="152"/>
      <c r="C72" s="152"/>
      <c r="D72" s="152"/>
      <c r="E72" s="152"/>
    </row>
    <row r="73" spans="1:5" ht="12.75">
      <c r="A73" s="157" t="s">
        <v>115</v>
      </c>
      <c r="B73" s="152"/>
      <c r="C73" s="152"/>
      <c r="D73" s="152"/>
      <c r="E73" s="152"/>
    </row>
    <row r="74" spans="1:5" ht="12.75">
      <c r="A74" s="158" t="s">
        <v>116</v>
      </c>
      <c r="B74" s="152"/>
      <c r="C74" s="152"/>
      <c r="D74" s="152"/>
      <c r="E74" s="152"/>
    </row>
    <row r="75" spans="1:5" ht="12.75">
      <c r="A75" s="157" t="s">
        <v>117</v>
      </c>
      <c r="B75" s="152"/>
      <c r="C75" s="152"/>
      <c r="D75" s="152"/>
      <c r="E75" s="152"/>
    </row>
    <row r="76" spans="1:5" ht="12.75">
      <c r="A76" s="157" t="s">
        <v>118</v>
      </c>
      <c r="B76" s="152"/>
      <c r="C76" s="152"/>
      <c r="D76" s="152"/>
      <c r="E76" s="152"/>
    </row>
    <row r="77" ht="15">
      <c r="A77" s="26"/>
    </row>
    <row r="78" ht="12.75">
      <c r="A78" s="27" t="s">
        <v>119</v>
      </c>
    </row>
    <row r="79" spans="1:5" ht="13.5">
      <c r="A79" s="162" t="s">
        <v>120</v>
      </c>
      <c r="B79" s="152"/>
      <c r="C79" s="152"/>
      <c r="D79" s="152"/>
      <c r="E79" s="152"/>
    </row>
    <row r="80" spans="1:5" ht="12.75">
      <c r="A80" s="160" t="s">
        <v>121</v>
      </c>
      <c r="B80" s="152"/>
      <c r="C80" s="152"/>
      <c r="D80" s="152"/>
      <c r="E80" s="152"/>
    </row>
    <row r="81" spans="1:5" ht="12.75">
      <c r="A81" s="159" t="s">
        <v>122</v>
      </c>
      <c r="B81" s="152"/>
      <c r="C81" s="152"/>
      <c r="D81" s="152"/>
      <c r="E81" s="152"/>
    </row>
    <row r="82" spans="1:5" ht="12.75">
      <c r="A82" s="160" t="s">
        <v>123</v>
      </c>
      <c r="B82" s="152"/>
      <c r="C82" s="152"/>
      <c r="D82" s="152"/>
      <c r="E82" s="152"/>
    </row>
    <row r="83" spans="1:5" ht="12.75">
      <c r="A83" s="159" t="s">
        <v>124</v>
      </c>
      <c r="B83" s="152"/>
      <c r="C83" s="152"/>
      <c r="D83" s="152"/>
      <c r="E83" s="152"/>
    </row>
    <row r="84" spans="1:5" ht="13.5">
      <c r="A84" s="160" t="s">
        <v>125</v>
      </c>
      <c r="B84" s="152"/>
      <c r="C84" s="152"/>
      <c r="D84" s="152"/>
      <c r="E84" s="152"/>
    </row>
    <row r="85" spans="1:5" ht="12.75">
      <c r="A85" s="159" t="s">
        <v>126</v>
      </c>
      <c r="B85" s="152"/>
      <c r="C85" s="152"/>
      <c r="D85" s="152"/>
      <c r="E85" s="152"/>
    </row>
    <row r="86" spans="1:5" ht="12.75">
      <c r="A86" s="159" t="s">
        <v>127</v>
      </c>
      <c r="B86" s="152"/>
      <c r="C86" s="152"/>
      <c r="D86" s="152"/>
      <c r="E86" s="152"/>
    </row>
    <row r="87" spans="1:5" ht="12.75">
      <c r="A87" s="160" t="s">
        <v>128</v>
      </c>
      <c r="B87" s="152"/>
      <c r="C87" s="152"/>
      <c r="D87" s="152"/>
      <c r="E87" s="152"/>
    </row>
    <row r="88" spans="1:5" ht="12.75">
      <c r="A88" s="159" t="s">
        <v>129</v>
      </c>
      <c r="B88" s="152"/>
      <c r="C88" s="152"/>
      <c r="D88" s="152"/>
      <c r="E88" s="152"/>
    </row>
    <row r="89" spans="1:5" ht="13.5">
      <c r="A89" s="160" t="s">
        <v>130</v>
      </c>
      <c r="B89" s="152"/>
      <c r="C89" s="152"/>
      <c r="D89" s="152"/>
      <c r="E89" s="152"/>
    </row>
    <row r="90" spans="1:5" ht="12.75">
      <c r="A90" s="159" t="s">
        <v>131</v>
      </c>
      <c r="B90" s="152"/>
      <c r="C90" s="152"/>
      <c r="D90" s="152"/>
      <c r="E90" s="152"/>
    </row>
    <row r="91" spans="1:5" ht="12.75">
      <c r="A91" s="159" t="s">
        <v>132</v>
      </c>
      <c r="B91" s="152"/>
      <c r="C91" s="152"/>
      <c r="D91" s="152"/>
      <c r="E91" s="152"/>
    </row>
    <row r="92" ht="15">
      <c r="A92" s="26"/>
    </row>
    <row r="93" spans="1:5" ht="12.75">
      <c r="A93" s="161" t="s">
        <v>133</v>
      </c>
      <c r="B93" s="152"/>
      <c r="C93" s="152"/>
      <c r="D93" s="152"/>
      <c r="E93" s="152"/>
    </row>
    <row r="94" spans="1:5" ht="12.75">
      <c r="A94" s="158" t="s">
        <v>134</v>
      </c>
      <c r="B94" s="152"/>
      <c r="C94" s="152"/>
      <c r="D94" s="152"/>
      <c r="E94" s="152"/>
    </row>
    <row r="95" spans="1:5" ht="12.75">
      <c r="A95" s="157" t="s">
        <v>135</v>
      </c>
      <c r="B95" s="152"/>
      <c r="C95" s="152"/>
      <c r="D95" s="152"/>
      <c r="E95" s="152"/>
    </row>
    <row r="96" spans="1:5" ht="12.75">
      <c r="A96" s="158" t="s">
        <v>136</v>
      </c>
      <c r="B96" s="152"/>
      <c r="C96" s="152"/>
      <c r="D96" s="152"/>
      <c r="E96" s="152"/>
    </row>
    <row r="97" spans="1:5" ht="12.75">
      <c r="A97" s="157" t="s">
        <v>137</v>
      </c>
      <c r="B97" s="152"/>
      <c r="C97" s="152"/>
      <c r="D97" s="152"/>
      <c r="E97" s="152"/>
    </row>
    <row r="98" spans="1:5" ht="12.75">
      <c r="A98" s="158" t="s">
        <v>138</v>
      </c>
      <c r="B98" s="152"/>
      <c r="C98" s="152"/>
      <c r="D98" s="152"/>
      <c r="E98" s="152"/>
    </row>
    <row r="99" spans="1:5" ht="12.75">
      <c r="A99" s="157" t="s">
        <v>139</v>
      </c>
      <c r="B99" s="152"/>
      <c r="C99" s="152"/>
      <c r="D99" s="152"/>
      <c r="E99" s="152"/>
    </row>
    <row r="100" spans="1:5" ht="12.75">
      <c r="A100" s="157" t="s">
        <v>140</v>
      </c>
      <c r="B100" s="152"/>
      <c r="C100" s="152"/>
      <c r="D100" s="152"/>
      <c r="E100" s="152"/>
    </row>
    <row r="101" spans="1:5" ht="12.75">
      <c r="A101" s="157" t="s">
        <v>141</v>
      </c>
      <c r="B101" s="152"/>
      <c r="C101" s="152"/>
      <c r="D101" s="152"/>
      <c r="E101" s="152"/>
    </row>
    <row r="102" spans="1:5" ht="12.75">
      <c r="A102" s="158" t="s">
        <v>142</v>
      </c>
      <c r="B102" s="152"/>
      <c r="C102" s="152"/>
      <c r="D102" s="152"/>
      <c r="E102" s="152"/>
    </row>
    <row r="103" spans="1:5" ht="12.75">
      <c r="A103" s="157" t="s">
        <v>143</v>
      </c>
      <c r="B103" s="152"/>
      <c r="C103" s="152"/>
      <c r="D103" s="152"/>
      <c r="E103" s="152"/>
    </row>
    <row r="104" spans="1:5" ht="12.75">
      <c r="A104" s="158" t="s">
        <v>144</v>
      </c>
      <c r="B104" s="152"/>
      <c r="C104" s="152"/>
      <c r="D104" s="152"/>
      <c r="E104" s="152"/>
    </row>
    <row r="105" spans="1:5" ht="12.75">
      <c r="A105" s="157" t="s">
        <v>145</v>
      </c>
      <c r="B105" s="152"/>
      <c r="C105" s="152"/>
      <c r="D105" s="152"/>
      <c r="E105" s="152"/>
    </row>
    <row r="106" spans="1:5" ht="12.75">
      <c r="A106" s="157" t="s">
        <v>146</v>
      </c>
      <c r="B106" s="152"/>
      <c r="C106" s="152"/>
      <c r="D106" s="152"/>
      <c r="E106" s="152"/>
    </row>
    <row r="116" ht="12.75">
      <c r="D116" s="14"/>
    </row>
  </sheetData>
  <sheetProtection password="CF68" sheet="1"/>
  <mergeCells count="98">
    <mergeCell ref="D5:D7"/>
    <mergeCell ref="E5:E7"/>
    <mergeCell ref="B13:B14"/>
    <mergeCell ref="C13:C14"/>
    <mergeCell ref="D13:D14"/>
    <mergeCell ref="E13:E14"/>
    <mergeCell ref="A22:E22"/>
    <mergeCell ref="A23:E23"/>
    <mergeCell ref="A24:E24"/>
    <mergeCell ref="A25:E25"/>
    <mergeCell ref="A4:F4"/>
    <mergeCell ref="A19:E19"/>
    <mergeCell ref="A20:E20"/>
    <mergeCell ref="A21:E21"/>
    <mergeCell ref="A8:A9"/>
    <mergeCell ref="C8:C9"/>
    <mergeCell ref="F8:F9"/>
    <mergeCell ref="A13:A14"/>
    <mergeCell ref="B5:B7"/>
    <mergeCell ref="C5:C7"/>
    <mergeCell ref="A36:E36"/>
    <mergeCell ref="A37:E37"/>
    <mergeCell ref="A28:E28"/>
    <mergeCell ref="A29:E29"/>
    <mergeCell ref="A32:E32"/>
    <mergeCell ref="A33:E33"/>
    <mergeCell ref="A49:E49"/>
    <mergeCell ref="A50:E50"/>
    <mergeCell ref="A34:E34"/>
    <mergeCell ref="A35:E35"/>
    <mergeCell ref="A26:E26"/>
    <mergeCell ref="A27:E27"/>
    <mergeCell ref="A30:E30"/>
    <mergeCell ref="A31:E31"/>
    <mergeCell ref="A38:E38"/>
    <mergeCell ref="A39:E39"/>
    <mergeCell ref="A40:E40"/>
    <mergeCell ref="A41:E41"/>
    <mergeCell ref="A42:E42"/>
    <mergeCell ref="A43:E43"/>
    <mergeCell ref="A53:E53"/>
    <mergeCell ref="A54:E54"/>
    <mergeCell ref="A45:E45"/>
    <mergeCell ref="A46:E46"/>
    <mergeCell ref="A47:E47"/>
    <mergeCell ref="A48:E48"/>
    <mergeCell ref="A68:E68"/>
    <mergeCell ref="A69:E69"/>
    <mergeCell ref="A57:E57"/>
    <mergeCell ref="A58:E58"/>
    <mergeCell ref="A59:E59"/>
    <mergeCell ref="A60:E60"/>
    <mergeCell ref="A55:E55"/>
    <mergeCell ref="A56:E56"/>
    <mergeCell ref="A61:E61"/>
    <mergeCell ref="A63:E63"/>
    <mergeCell ref="A64:E64"/>
    <mergeCell ref="A65:E65"/>
    <mergeCell ref="A51:E51"/>
    <mergeCell ref="A52:E52"/>
    <mergeCell ref="A80:E80"/>
    <mergeCell ref="A81:E81"/>
    <mergeCell ref="A72:E72"/>
    <mergeCell ref="A73:E73"/>
    <mergeCell ref="A76:E76"/>
    <mergeCell ref="A79:E79"/>
    <mergeCell ref="A66:E66"/>
    <mergeCell ref="A67:E67"/>
    <mergeCell ref="A70:E70"/>
    <mergeCell ref="A71:E71"/>
    <mergeCell ref="A86:E86"/>
    <mergeCell ref="A87:E87"/>
    <mergeCell ref="A74:E74"/>
    <mergeCell ref="A75:E75"/>
    <mergeCell ref="A82:E82"/>
    <mergeCell ref="A83:E83"/>
    <mergeCell ref="A84:E84"/>
    <mergeCell ref="A85:E85"/>
    <mergeCell ref="A95:E95"/>
    <mergeCell ref="A96:E96"/>
    <mergeCell ref="A99:E99"/>
    <mergeCell ref="A100:E100"/>
    <mergeCell ref="A88:E88"/>
    <mergeCell ref="A89:E89"/>
    <mergeCell ref="A93:E93"/>
    <mergeCell ref="A94:E94"/>
    <mergeCell ref="A90:E90"/>
    <mergeCell ref="A91:E91"/>
    <mergeCell ref="A2:F2"/>
    <mergeCell ref="B1:F1"/>
    <mergeCell ref="A105:E105"/>
    <mergeCell ref="A106:E106"/>
    <mergeCell ref="A101:E101"/>
    <mergeCell ref="A102:E102"/>
    <mergeCell ref="A103:E103"/>
    <mergeCell ref="A104:E104"/>
    <mergeCell ref="A97:E97"/>
    <mergeCell ref="A98:E9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tabColor indexed="60"/>
  </sheetPr>
  <dimension ref="A1:F44"/>
  <sheetViews>
    <sheetView tabSelected="1" zoomScalePageLayoutView="0" workbookViewId="0" topLeftCell="A1">
      <selection activeCell="B6" sqref="B6"/>
    </sheetView>
  </sheetViews>
  <sheetFormatPr defaultColWidth="9.140625" defaultRowHeight="12.75"/>
  <cols>
    <col min="1" max="1" width="24.8515625" style="0" customWidth="1"/>
    <col min="2" max="2" width="20.28125" style="0" customWidth="1"/>
    <col min="3" max="3" width="16.421875" style="0" customWidth="1"/>
    <col min="4" max="4" width="16.28125" style="0" customWidth="1"/>
    <col min="5" max="5" width="14.8515625" style="0" customWidth="1"/>
    <col min="6" max="6" width="66.421875" style="0" customWidth="1"/>
  </cols>
  <sheetData>
    <row r="1" ht="12.75">
      <c r="B1" s="54"/>
    </row>
    <row r="2" spans="1:6" ht="33.75">
      <c r="A2" s="190" t="s">
        <v>206</v>
      </c>
      <c r="B2" s="156"/>
      <c r="C2" s="156"/>
      <c r="D2" s="156"/>
      <c r="E2" s="156"/>
      <c r="F2" s="156"/>
    </row>
    <row r="3" ht="13.5" thickBot="1"/>
    <row r="4" spans="1:6" ht="48" thickBot="1">
      <c r="A4" s="2" t="s">
        <v>154</v>
      </c>
      <c r="B4" s="31" t="s">
        <v>208</v>
      </c>
      <c r="C4" s="31" t="s">
        <v>11</v>
      </c>
      <c r="D4" s="4" t="s">
        <v>9</v>
      </c>
      <c r="E4" s="7" t="s">
        <v>10</v>
      </c>
      <c r="F4" s="6" t="s">
        <v>15</v>
      </c>
    </row>
    <row r="5" spans="1:6" ht="38.25" customHeight="1" thickBot="1">
      <c r="A5" s="55">
        <v>500000</v>
      </c>
      <c r="B5" s="55">
        <v>400000</v>
      </c>
      <c r="C5" s="56">
        <v>2014</v>
      </c>
      <c r="D5" s="57">
        <v>2015</v>
      </c>
      <c r="E5" s="58" t="s">
        <v>270</v>
      </c>
      <c r="F5" s="125" t="s">
        <v>321</v>
      </c>
    </row>
    <row r="7" ht="13.5" thickBot="1"/>
    <row r="8" spans="1:6" ht="60.75" customHeight="1" thickBot="1">
      <c r="A8" s="31" t="s">
        <v>155</v>
      </c>
      <c r="B8" s="31" t="s">
        <v>5</v>
      </c>
      <c r="C8" s="31" t="s">
        <v>6</v>
      </c>
      <c r="D8" s="9" t="s">
        <v>7</v>
      </c>
      <c r="E8" s="193" t="s">
        <v>15</v>
      </c>
      <c r="F8" s="194"/>
    </row>
    <row r="9" spans="1:6" ht="46.5" customHeight="1" thickBot="1">
      <c r="A9" s="3" t="s">
        <v>1</v>
      </c>
      <c r="B9" s="59">
        <v>35</v>
      </c>
      <c r="C9" s="60">
        <v>0.3</v>
      </c>
      <c r="D9" s="60">
        <v>0.2</v>
      </c>
      <c r="E9" s="191" t="s">
        <v>320</v>
      </c>
      <c r="F9" s="192"/>
    </row>
    <row r="10" spans="1:6" ht="45.75" customHeight="1" thickBot="1">
      <c r="A10" s="1" t="s">
        <v>2</v>
      </c>
      <c r="B10" s="59">
        <v>45</v>
      </c>
      <c r="C10" s="60">
        <v>0.2</v>
      </c>
      <c r="D10" s="60">
        <v>0.45</v>
      </c>
      <c r="E10" s="195" t="s">
        <v>322</v>
      </c>
      <c r="F10" s="196"/>
    </row>
    <row r="11" spans="1:6" ht="50.25" customHeight="1" thickBot="1">
      <c r="A11" s="1" t="s">
        <v>3</v>
      </c>
      <c r="B11" s="59">
        <v>230</v>
      </c>
      <c r="C11" s="60">
        <v>0.55</v>
      </c>
      <c r="D11" s="60">
        <v>0.35</v>
      </c>
      <c r="E11" s="191" t="s">
        <v>323</v>
      </c>
      <c r="F11" s="192"/>
    </row>
    <row r="12" spans="1:6" ht="56.25" customHeight="1" thickBot="1">
      <c r="A12" s="1" t="s">
        <v>4</v>
      </c>
      <c r="B12" s="59">
        <v>0</v>
      </c>
      <c r="C12" s="60">
        <v>0</v>
      </c>
      <c r="D12" s="60">
        <v>0</v>
      </c>
      <c r="E12" s="191" t="s">
        <v>324</v>
      </c>
      <c r="F12" s="192"/>
    </row>
    <row r="13" spans="1:6" ht="48" customHeight="1" thickBot="1">
      <c r="A13" s="1" t="s">
        <v>12</v>
      </c>
      <c r="B13" s="59">
        <v>0</v>
      </c>
      <c r="C13" s="60">
        <v>0</v>
      </c>
      <c r="D13" s="60">
        <v>0</v>
      </c>
      <c r="E13" s="191" t="s">
        <v>325</v>
      </c>
      <c r="F13" s="192"/>
    </row>
    <row r="14" spans="1:6" ht="51.75" customHeight="1" thickBot="1">
      <c r="A14" s="1" t="s">
        <v>8</v>
      </c>
      <c r="B14" s="59"/>
      <c r="C14" s="60"/>
      <c r="D14" s="60"/>
      <c r="E14" s="191" t="s">
        <v>326</v>
      </c>
      <c r="F14" s="192"/>
    </row>
    <row r="16" ht="21.75" customHeight="1"/>
    <row r="17" spans="1:6" ht="63.75" thickBot="1">
      <c r="A17" s="1" t="s">
        <v>156</v>
      </c>
      <c r="B17" s="1" t="s">
        <v>0</v>
      </c>
      <c r="C17" s="1" t="s">
        <v>13</v>
      </c>
      <c r="D17" s="1" t="s">
        <v>14</v>
      </c>
      <c r="E17" s="178" t="s">
        <v>15</v>
      </c>
      <c r="F17" s="180"/>
    </row>
    <row r="18" spans="1:6" ht="39.75" customHeight="1" thickBot="1">
      <c r="A18" s="1" t="s">
        <v>327</v>
      </c>
      <c r="B18" s="59">
        <v>0</v>
      </c>
      <c r="C18" s="63">
        <v>60000</v>
      </c>
      <c r="D18" s="55">
        <f>B18*C18</f>
        <v>0</v>
      </c>
      <c r="E18" s="186" t="s">
        <v>283</v>
      </c>
      <c r="F18" s="189"/>
    </row>
    <row r="19" spans="1:6" ht="42" customHeight="1" thickBot="1">
      <c r="A19" s="1" t="s">
        <v>209</v>
      </c>
      <c r="B19" s="59">
        <f>B20+B21</f>
        <v>140</v>
      </c>
      <c r="C19" s="63">
        <v>0</v>
      </c>
      <c r="D19" s="55">
        <f>IF(C19&gt;0,B19*C19,B19*C19+B20*C20+B21*C21)</f>
        <v>6940</v>
      </c>
      <c r="E19" s="186" t="s">
        <v>284</v>
      </c>
      <c r="F19" s="189"/>
    </row>
    <row r="20" spans="1:6" ht="37.5" customHeight="1" thickBot="1">
      <c r="A20" s="1" t="s">
        <v>148</v>
      </c>
      <c r="B20" s="59">
        <v>18</v>
      </c>
      <c r="C20" s="63">
        <v>250</v>
      </c>
      <c r="D20" s="55">
        <f>B20*C20</f>
        <v>4500</v>
      </c>
      <c r="E20" s="186" t="s">
        <v>285</v>
      </c>
      <c r="F20" s="189"/>
    </row>
    <row r="21" spans="1:6" ht="37.5" customHeight="1" thickBot="1">
      <c r="A21" s="1" t="s">
        <v>149</v>
      </c>
      <c r="B21" s="59">
        <v>122</v>
      </c>
      <c r="C21" s="63">
        <v>20</v>
      </c>
      <c r="D21" s="55">
        <f>B21*C21</f>
        <v>2440</v>
      </c>
      <c r="E21" s="186" t="s">
        <v>328</v>
      </c>
      <c r="F21" s="189"/>
    </row>
    <row r="22" spans="1:6" ht="37.5" customHeight="1" thickBot="1">
      <c r="A22" s="1" t="s">
        <v>210</v>
      </c>
      <c r="B22" s="59">
        <f>B23+B24</f>
        <v>70</v>
      </c>
      <c r="C22" s="63">
        <v>0</v>
      </c>
      <c r="D22" s="55">
        <f>IF(C22&gt;0,C22*D22,B23*C23+B24*C24)</f>
        <v>5950</v>
      </c>
      <c r="E22" s="186" t="s">
        <v>286</v>
      </c>
      <c r="F22" s="189"/>
    </row>
    <row r="23" spans="1:6" ht="42" customHeight="1" thickBot="1">
      <c r="A23" s="1" t="s">
        <v>150</v>
      </c>
      <c r="B23" s="59">
        <v>55</v>
      </c>
      <c r="C23" s="63">
        <v>100</v>
      </c>
      <c r="D23" s="55">
        <f>B23*C23</f>
        <v>5500</v>
      </c>
      <c r="E23" s="186" t="s">
        <v>287</v>
      </c>
      <c r="F23" s="189"/>
    </row>
    <row r="24" spans="1:6" ht="29.25" customHeight="1" thickBot="1">
      <c r="A24" s="1" t="s">
        <v>151</v>
      </c>
      <c r="B24" s="59">
        <v>15</v>
      </c>
      <c r="C24" s="55">
        <v>30</v>
      </c>
      <c r="D24" s="55">
        <f>B24*C24</f>
        <v>450</v>
      </c>
      <c r="E24" s="186" t="s">
        <v>288</v>
      </c>
      <c r="F24" s="189"/>
    </row>
    <row r="25" ht="40.5" customHeight="1" thickBot="1"/>
    <row r="26" spans="1:6" ht="19.5" customHeight="1" thickBot="1">
      <c r="A26" s="173" t="s">
        <v>224</v>
      </c>
      <c r="B26" s="174"/>
      <c r="C26" s="174"/>
      <c r="D26" s="174"/>
      <c r="E26" s="174"/>
      <c r="F26" s="175"/>
    </row>
    <row r="27" spans="1:6" ht="18.75" customHeight="1" thickBot="1">
      <c r="A27" s="37"/>
      <c r="B27" s="37"/>
      <c r="C27" s="37"/>
      <c r="D27" s="37"/>
      <c r="E27" s="37"/>
      <c r="F27" s="37"/>
    </row>
    <row r="28" spans="1:6" ht="70.5" customHeight="1" thickBot="1">
      <c r="A28" s="1" t="s">
        <v>157</v>
      </c>
      <c r="B28" s="8" t="s">
        <v>215</v>
      </c>
      <c r="C28" s="8" t="s">
        <v>216</v>
      </c>
      <c r="D28" s="3" t="s">
        <v>17</v>
      </c>
      <c r="E28" s="53" t="s">
        <v>18</v>
      </c>
      <c r="F28" s="5" t="s">
        <v>15</v>
      </c>
    </row>
    <row r="29" spans="1:6" ht="72" customHeight="1" thickBot="1">
      <c r="A29" s="1" t="s">
        <v>16</v>
      </c>
      <c r="B29" s="58">
        <v>0</v>
      </c>
      <c r="C29" s="60">
        <v>0.3</v>
      </c>
      <c r="D29" s="56">
        <v>0</v>
      </c>
      <c r="E29" s="64">
        <v>0</v>
      </c>
      <c r="F29" s="58"/>
    </row>
    <row r="30" spans="1:6" ht="54.75" customHeight="1" thickBot="1">
      <c r="A30" s="1" t="s">
        <v>152</v>
      </c>
      <c r="B30" s="60">
        <v>0.5</v>
      </c>
      <c r="C30" s="58"/>
      <c r="D30" s="56"/>
      <c r="E30" s="61"/>
      <c r="F30" s="58"/>
    </row>
    <row r="31" spans="1:6" ht="63.75" customHeight="1" thickBot="1">
      <c r="A31" s="1" t="s">
        <v>153</v>
      </c>
      <c r="B31" s="60"/>
      <c r="C31" s="58"/>
      <c r="D31" s="58"/>
      <c r="E31" s="58"/>
      <c r="F31" s="62"/>
    </row>
    <row r="32" ht="54" customHeight="1"/>
    <row r="34" spans="1:6" ht="16.5" thickBot="1">
      <c r="A34" s="178" t="s">
        <v>211</v>
      </c>
      <c r="B34" s="179"/>
      <c r="C34" s="179"/>
      <c r="D34" s="179"/>
      <c r="E34" s="179"/>
      <c r="F34" s="180"/>
    </row>
    <row r="35" ht="13.5" thickBot="1"/>
    <row r="36" spans="1:6" ht="48" thickBot="1">
      <c r="A36" s="1" t="s">
        <v>217</v>
      </c>
      <c r="B36" s="8" t="s">
        <v>218</v>
      </c>
      <c r="C36" s="8" t="s">
        <v>220</v>
      </c>
      <c r="D36" s="3" t="s">
        <v>219</v>
      </c>
      <c r="E36" s="173" t="s">
        <v>15</v>
      </c>
      <c r="F36" s="181"/>
    </row>
    <row r="37" spans="1:6" ht="62.25" customHeight="1" thickBot="1">
      <c r="A37" s="1" t="s">
        <v>221</v>
      </c>
      <c r="B37" s="93">
        <v>0.1768</v>
      </c>
      <c r="C37" s="93">
        <v>0.32</v>
      </c>
      <c r="D37" s="93">
        <f>B37+C37</f>
        <v>0.4968</v>
      </c>
      <c r="E37" s="182" t="s">
        <v>263</v>
      </c>
      <c r="F37" s="183"/>
    </row>
    <row r="38" spans="1:6" ht="80.25" customHeight="1" thickBot="1">
      <c r="A38" s="1" t="s">
        <v>222</v>
      </c>
      <c r="B38" s="93">
        <v>0.25</v>
      </c>
      <c r="C38" s="93">
        <v>0</v>
      </c>
      <c r="D38" s="93">
        <v>1.5</v>
      </c>
      <c r="E38" s="184" t="s">
        <v>253</v>
      </c>
      <c r="F38" s="185"/>
    </row>
    <row r="39" spans="1:6" ht="67.5" customHeight="1" thickBot="1">
      <c r="A39" s="1" t="s">
        <v>254</v>
      </c>
      <c r="B39" s="93">
        <v>0.49</v>
      </c>
      <c r="C39" s="93">
        <v>0.1</v>
      </c>
      <c r="D39" s="93">
        <v>0.1</v>
      </c>
      <c r="E39" s="186" t="s">
        <v>255</v>
      </c>
      <c r="F39" s="181"/>
    </row>
    <row r="40" spans="1:6" ht="68.25" customHeight="1" thickBot="1">
      <c r="A40" s="1" t="s">
        <v>252</v>
      </c>
      <c r="B40" s="93">
        <v>0.15</v>
      </c>
      <c r="C40" s="93">
        <v>0.15</v>
      </c>
      <c r="D40" s="100">
        <f>F43</f>
        <v>1.0600562819729364</v>
      </c>
      <c r="E40" s="187" t="s">
        <v>257</v>
      </c>
      <c r="F40" s="188"/>
    </row>
    <row r="41" spans="1:6" ht="57" customHeight="1" thickBot="1">
      <c r="A41" s="1" t="s">
        <v>223</v>
      </c>
      <c r="B41" s="93">
        <v>0.1</v>
      </c>
      <c r="C41" s="93">
        <v>0.1</v>
      </c>
      <c r="D41" s="65">
        <f>(F43/F44)</f>
        <v>1.1947345900259296</v>
      </c>
      <c r="E41" s="176" t="s">
        <v>256</v>
      </c>
      <c r="F41" s="177"/>
    </row>
    <row r="42" spans="4:6" ht="18" customHeight="1" thickBot="1">
      <c r="D42" s="40"/>
      <c r="F42" s="1" t="s">
        <v>225</v>
      </c>
    </row>
    <row r="43" ht="20.25" customHeight="1" thickBot="1">
      <c r="F43" s="66">
        <f>POWER(2.71828,-0.0000586*'Results '!E18+0.0435987*D39+0.119895*(D37/0.2))</f>
        <v>1.0600562819729364</v>
      </c>
    </row>
    <row r="44" ht="13.5" thickBot="1">
      <c r="F44" s="66">
        <f>POWER(2.71828,-0.0000586*'Results '!E18+0.0435987*D39+0.119895*1)</f>
        <v>0.887273450373551</v>
      </c>
    </row>
  </sheetData>
  <sheetProtection password="CF68" sheet="1"/>
  <mergeCells count="24">
    <mergeCell ref="A2:F2"/>
    <mergeCell ref="E17:F17"/>
    <mergeCell ref="E18:F18"/>
    <mergeCell ref="E11:F11"/>
    <mergeCell ref="E12:F12"/>
    <mergeCell ref="E13:F13"/>
    <mergeCell ref="E14:F14"/>
    <mergeCell ref="E8:F8"/>
    <mergeCell ref="E9:F9"/>
    <mergeCell ref="E10:F10"/>
    <mergeCell ref="E24:F24"/>
    <mergeCell ref="E22:F22"/>
    <mergeCell ref="E23:F23"/>
    <mergeCell ref="E19:F19"/>
    <mergeCell ref="E20:F20"/>
    <mergeCell ref="E21:F21"/>
    <mergeCell ref="A26:F26"/>
    <mergeCell ref="E41:F41"/>
    <mergeCell ref="A34:F34"/>
    <mergeCell ref="E36:F36"/>
    <mergeCell ref="E37:F37"/>
    <mergeCell ref="E38:F38"/>
    <mergeCell ref="E39:F39"/>
    <mergeCell ref="E40:F4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tabColor indexed="52"/>
    <pageSetUpPr fitToPage="1"/>
  </sheetPr>
  <dimension ref="A1:H26"/>
  <sheetViews>
    <sheetView showGridLines="0" showRowColHeaders="0" zoomScalePageLayoutView="0" workbookViewId="0" topLeftCell="A22">
      <selection activeCell="C20" sqref="C20"/>
    </sheetView>
  </sheetViews>
  <sheetFormatPr defaultColWidth="9.140625" defaultRowHeight="12.75"/>
  <cols>
    <col min="1" max="1" width="28.57421875" style="0" customWidth="1"/>
    <col min="2" max="2" width="16.7109375" style="0" customWidth="1"/>
    <col min="3" max="3" width="15.00390625" style="0" customWidth="1"/>
    <col min="4" max="4" width="14.7109375" style="0" customWidth="1"/>
    <col min="5" max="5" width="21.57421875" style="0" customWidth="1"/>
    <col min="6" max="6" width="16.00390625" style="0" customWidth="1"/>
    <col min="7" max="7" width="34.140625" style="0" customWidth="1"/>
    <col min="8" max="8" width="18.7109375" style="0" customWidth="1"/>
    <col min="9" max="9" width="29.28125" style="0" customWidth="1"/>
  </cols>
  <sheetData>
    <row r="1" ht="12.75">
      <c r="A1" t="s">
        <v>19</v>
      </c>
    </row>
    <row r="2" spans="1:8" ht="51" customHeight="1">
      <c r="A2" s="199" t="s">
        <v>169</v>
      </c>
      <c r="B2" s="199"/>
      <c r="C2" s="199"/>
      <c r="D2" s="199"/>
      <c r="E2" s="199"/>
      <c r="F2" s="199"/>
      <c r="G2" s="199"/>
      <c r="H2" s="156"/>
    </row>
    <row r="3" ht="13.5" thickBot="1">
      <c r="C3" s="54"/>
    </row>
    <row r="4" spans="1:7" ht="63.75" thickBot="1">
      <c r="A4" s="31" t="s">
        <v>158</v>
      </c>
      <c r="B4" s="31" t="s">
        <v>350</v>
      </c>
      <c r="C4" s="31" t="s">
        <v>159</v>
      </c>
      <c r="D4" s="9" t="s">
        <v>160</v>
      </c>
      <c r="E4" s="9" t="s">
        <v>351</v>
      </c>
      <c r="F4" s="173" t="s">
        <v>15</v>
      </c>
      <c r="G4" s="200"/>
    </row>
    <row r="5" spans="1:7" ht="48" customHeight="1" thickBot="1">
      <c r="A5" s="3" t="s">
        <v>161</v>
      </c>
      <c r="B5" s="11">
        <f>('Data and Values'!B9*'Data and Values'!C9+'Data and Values'!B9*'Data and Values'!D9*Assumptions!H5)*'National Data'!B17*Assumptions!G5+('Data and Values'!B10*'Data and Values'!C10+'Data and Values'!B10*'Data and Values'!D10*Assumptions!H6)*'National Data'!B18*Assumptions!G6+('Data and Values'!B11*'Data and Values'!C11+'Data and Values'!B11*'Data and Values'!D11*Assumptions!H7)*'National Data'!B19*Assumptions!G7+('Data and Values'!B12*'Data and Values'!C12+'Data and Values'!B12*'Data and Values'!D12*Assumptions!H8)*'National Data'!B20*Assumptions!G8+('Data and Values'!B13*'Data and Values'!C13+'Data and Values'!B13*'Data and Values'!D13*Assumptions!H9)*'National Data'!B21*Assumptions!G9+('Data and Values'!B14*'Data and Values'!C14+'Data and Values'!B14*'Data and Values'!D14*Assumptions!H10)*'National Data'!B22*Assumptions!G10</f>
        <v>33.7873205111926</v>
      </c>
      <c r="C5" s="90">
        <f>('Data and Values'!B9*'Data and Values'!C9+'Data and Values'!B9*'Data and Values'!D9*Assumptions!H5)*'National Data'!F17*Assumptions!G5+('Data and Values'!B10*'Data and Values'!C10+'Data and Values'!B10*'Data and Values'!D10*Assumptions!H6)*'National Data'!F18*Assumptions!G6+('Data and Values'!B11*'Data and Values'!C11+'Data and Values'!B11*'Data and Values'!D11*Assumptions!H7)*'National Data'!F19*Assumptions!G7+('Data and Values'!B12*'Data and Values'!C12+'Data and Values'!B12*'Data and Values'!D12*Assumptions!H8)*'National Data'!F20*Assumptions!G8+('Data and Values'!B13*'Data and Values'!C13+'Data and Values'!B13*'Data and Values'!D13*Assumptions!H9)*'National Data'!F21*Assumptions!G9+('Data and Values'!B14*'Data and Values'!C14+'Data and Values'!B14*'Data and Values'!D14*Assumptions!H10)*'National Data'!F22*Assumptions!G10</f>
        <v>186954.36172298912</v>
      </c>
      <c r="D5" s="90">
        <f>'Data and Values'!B5-'Results '!C5</f>
        <v>213045.63827701088</v>
      </c>
      <c r="E5" s="90">
        <f>D5/B5</f>
        <v>6305.49078925735</v>
      </c>
      <c r="F5" s="197"/>
      <c r="G5" s="198"/>
    </row>
    <row r="6" spans="1:7" ht="43.5" customHeight="1" thickBot="1">
      <c r="A6" s="1" t="s">
        <v>214</v>
      </c>
      <c r="B6" s="12">
        <f>Assumptions!F5*'National Data'!B20*Assumptions!G5*('Data and Values'!B9*'Data and Values'!C9+'Data and Values'!B9*'Data and Values'!D9*Assumptions!H5)+Assumptions!F6*'National Data'!B21*Assumptions!G6*('Data and Values'!B10*'Data and Values'!C10+'Data and Values'!B10*'Data and Values'!D10*Assumptions!H6)+Assumptions!F7*'National Data'!B22*Assumptions!G7*('Data and Values'!B11*'Data and Values'!C11+'Data and Values'!B11*'Data and Values'!D11*Assumptions!H7)+Assumptions!F9*'National Data'!B24*Assumptions!G9*('Data and Values'!B13*'Data and Values'!C13+'Data and Values'!B13*'Data and Values'!D13*Assumptions!H9)+Assumptions!F10*'National Data'!B25*Assumptions!G10*('Data and Values'!B14*'Data and Values'!C14+'Data and Values'!B14*'Data and Values'!D14*Assumptions!H10)</f>
        <v>3.7636836667744307</v>
      </c>
      <c r="C6" s="91">
        <f>B6*'National Data'!G20</f>
        <v>13676.095961319543</v>
      </c>
      <c r="D6" s="91">
        <f>'Data and Values'!B5-('Results '!C5+'Results '!C6)</f>
        <v>199369.54231569133</v>
      </c>
      <c r="E6" s="91">
        <f>D6/(B5+B6)</f>
        <v>5309.299889047201</v>
      </c>
      <c r="F6" s="197"/>
      <c r="G6" s="198"/>
    </row>
    <row r="7" spans="1:7" ht="49.5" customHeight="1" thickBot="1">
      <c r="A7" s="1" t="s">
        <v>162</v>
      </c>
      <c r="B7" s="12">
        <f>'Data and Values'!B19*Assumptions!B13*Assumptions!E13</f>
        <v>2.2834000000000003</v>
      </c>
      <c r="C7" s="91"/>
      <c r="D7" s="91"/>
      <c r="E7" s="91"/>
      <c r="F7" s="186" t="s">
        <v>243</v>
      </c>
      <c r="G7" s="198"/>
    </row>
    <row r="8" spans="1:7" ht="50.25" customHeight="1" thickBot="1">
      <c r="A8" s="1" t="s">
        <v>171</v>
      </c>
      <c r="B8" s="12">
        <f>(B5+B6+B7*'Data and Values'!D37)</f>
        <v>38.68539729796703</v>
      </c>
      <c r="C8" s="91"/>
      <c r="D8" s="91"/>
      <c r="E8" s="91"/>
      <c r="F8" s="186" t="s">
        <v>245</v>
      </c>
      <c r="G8" s="198"/>
    </row>
    <row r="9" spans="1:7" ht="43.5" customHeight="1" thickBot="1">
      <c r="A9" s="1" t="s">
        <v>167</v>
      </c>
      <c r="B9" s="50"/>
      <c r="C9" s="91">
        <f>C5+C6</f>
        <v>200630.45768430867</v>
      </c>
      <c r="D9" s="91"/>
      <c r="E9" s="91"/>
      <c r="F9" s="197"/>
      <c r="G9" s="198"/>
    </row>
    <row r="10" spans="1:7" ht="43.5" customHeight="1" thickBot="1">
      <c r="A10" s="1" t="s">
        <v>166</v>
      </c>
      <c r="B10" s="51"/>
      <c r="C10" s="91">
        <f>'Data and Values'!D18</f>
        <v>0</v>
      </c>
      <c r="D10" s="91"/>
      <c r="E10" s="91"/>
      <c r="F10" s="197"/>
      <c r="G10" s="198"/>
    </row>
    <row r="11" spans="1:7" ht="43.5" customHeight="1" thickBot="1">
      <c r="A11" s="1" t="s">
        <v>165</v>
      </c>
      <c r="B11" s="51"/>
      <c r="C11" s="91">
        <f>'Data and Values'!D19+'Data and Values'!D22</f>
        <v>12890</v>
      </c>
      <c r="D11" s="91"/>
      <c r="E11" s="91"/>
      <c r="F11" s="197"/>
      <c r="G11" s="198"/>
    </row>
    <row r="12" spans="1:7" ht="57" customHeight="1" thickBot="1">
      <c r="A12" s="1" t="s">
        <v>164</v>
      </c>
      <c r="B12" s="52"/>
      <c r="C12" s="92">
        <f>C9+C10+C11</f>
        <v>213520.45768430867</v>
      </c>
      <c r="D12" s="91">
        <f>'Data and Values'!B5-C12</f>
        <v>186479.54231569133</v>
      </c>
      <c r="E12" s="91"/>
      <c r="F12" s="197"/>
      <c r="G12" s="198"/>
    </row>
    <row r="13" spans="1:7" ht="78.75" customHeight="1" thickBot="1">
      <c r="A13" s="1" t="s">
        <v>330</v>
      </c>
      <c r="B13" s="52"/>
      <c r="C13" s="91">
        <f>('Data and Values'!B9*'Data and Values'!C9+'Data and Values'!B9*'Data and Values'!D9*Assumptions!H5)*'National Data'!H17*Assumptions!G5+('Data and Values'!B10*'Data and Values'!C10+'Data and Values'!B10*'Data and Values'!D10*Assumptions!H6)*'National Data'!H18*Assumptions!G6+('Data and Values'!B11*'Data and Values'!C11+'Data and Values'!B11*'Data and Values'!D11*Assumptions!H7)*'National Data'!H19*Assumptions!G7+('Data and Values'!B12*'Data and Values'!C12+'Data and Values'!B12*'Data and Values'!D12*Assumptions!H8)*'National Data'!H20*Assumptions!G8+('Data and Values'!B13*'Data and Values'!C13+'Data and Values'!B13*'Data and Values'!D13*Assumptions!H9)*'National Data'!H21*Assumptions!G9+('Data and Values'!B14*'Data and Values'!C14+'Data and Values'!B14*'Data and Values'!D14*Assumptions!H10)*'National Data'!H22*Assumptions!G10</f>
        <v>18052.082673122906</v>
      </c>
      <c r="D13" s="91"/>
      <c r="E13" s="91"/>
      <c r="F13" s="197"/>
      <c r="G13" s="198"/>
    </row>
    <row r="14" spans="1:8" ht="69.75" customHeight="1" thickBot="1">
      <c r="A14" s="1" t="s">
        <v>239</v>
      </c>
      <c r="B14" s="52"/>
      <c r="C14" s="91">
        <f>'National Data'!B27*(Assumptions!G6*'Data and Values'!B10*'Data and Values'!C10+Assumptions!H6*'Data and Values'!B10*'Data and Values'!D10)</f>
        <v>7442.728708545703</v>
      </c>
      <c r="D14" s="91"/>
      <c r="E14" s="91"/>
      <c r="F14" s="84"/>
      <c r="G14" s="85"/>
      <c r="H14" s="75"/>
    </row>
    <row r="15" spans="1:7" ht="71.25" customHeight="1" thickBot="1">
      <c r="A15" s="1" t="s">
        <v>163</v>
      </c>
      <c r="B15" s="52"/>
      <c r="C15" s="91">
        <f>IF('Data and Values'!B31=0,'Data and Values'!B29*'Data and Values'!C29*'Data and Values'!B30*Assumptions!E17*'National Data'!B26-'Data and Values'!E29,'Data and Values'!B29*'Data and Values'!C29*('Data and Values'!B30-'Data and Values'!B31)*'National Data'!B26-'Data and Values'!E29)</f>
        <v>0</v>
      </c>
      <c r="D15" s="91"/>
      <c r="E15" s="91"/>
      <c r="F15" s="206"/>
      <c r="G15" s="207"/>
    </row>
    <row r="16" spans="1:7" ht="71.25" customHeight="1" thickBot="1">
      <c r="A16" s="1" t="s">
        <v>168</v>
      </c>
      <c r="B16" s="52"/>
      <c r="C16" s="91">
        <f>C12+C13+C14+C15</f>
        <v>239015.26906597728</v>
      </c>
      <c r="D16" s="91"/>
      <c r="E16" s="91"/>
      <c r="F16" s="197"/>
      <c r="G16" s="198"/>
    </row>
    <row r="17" spans="1:7" ht="71.25" customHeight="1" thickBot="1">
      <c r="A17" s="1" t="s">
        <v>170</v>
      </c>
      <c r="B17" s="12"/>
      <c r="C17" s="91"/>
      <c r="D17" s="91">
        <f>'Data and Values'!B5-C16</f>
        <v>160984.73093402272</v>
      </c>
      <c r="E17" s="91"/>
      <c r="F17" s="197"/>
      <c r="G17" s="198"/>
    </row>
    <row r="18" spans="1:7" ht="64.5" customHeight="1" thickBot="1">
      <c r="A18" s="1" t="s">
        <v>355</v>
      </c>
      <c r="B18" s="12"/>
      <c r="C18" s="91"/>
      <c r="D18" s="91"/>
      <c r="E18" s="91">
        <f>D17/B8</f>
        <v>4161.382386590682</v>
      </c>
      <c r="F18" s="186" t="s">
        <v>319</v>
      </c>
      <c r="G18" s="198"/>
    </row>
    <row r="19" spans="1:7" ht="63" customHeight="1" thickBot="1">
      <c r="A19" s="144" t="s">
        <v>359</v>
      </c>
      <c r="B19" s="145"/>
      <c r="C19" s="146">
        <f>('Data and Values'!B9*'Data and Values'!C9+'Data and Values'!B9*'Data and Values'!D9*Assumptions!H5)*'National Data'!J17*Assumptions!G5+('Data and Values'!B10*'Data and Values'!C10+'Data and Values'!B10*'Data and Values'!D10*Assumptions!H6)*'National Data'!J18*Assumptions!G6+('Data and Values'!B11*'Data and Values'!C11+'Data and Values'!B11*'Data and Values'!D11*Assumptions!H7)*'National Data'!J19*Assumptions!G7+('Data and Values'!B12*'Data and Values'!C12+'Data and Values'!B12*'Data and Values'!D12*Assumptions!H8)*'National Data'!J20*Assumptions!G8+('Data and Values'!B13*'Data and Values'!C13+'Data and Values'!B13*'Data and Values'!D13*Assumptions!H9)*'National Data'!J21*Assumptions!G9+('Data and Values'!B14*'Data and Values'!C14+'Data and Values'!B14*'Data and Values'!D14*Assumptions!H10)*'National Data'!J22*Assumptions!G10</f>
        <v>113538.90890053763</v>
      </c>
      <c r="D19" s="77"/>
      <c r="E19" s="147"/>
      <c r="F19" s="208" t="s">
        <v>360</v>
      </c>
      <c r="G19" s="209"/>
    </row>
    <row r="20" ht="14.25" customHeight="1"/>
    <row r="21" ht="27" customHeight="1" thickBot="1"/>
    <row r="22" spans="1:7" ht="96" customHeight="1" thickBot="1">
      <c r="A22" s="3" t="s">
        <v>264</v>
      </c>
      <c r="B22" s="3" t="s">
        <v>353</v>
      </c>
      <c r="C22" s="3" t="s">
        <v>265</v>
      </c>
      <c r="D22" s="3" t="s">
        <v>266</v>
      </c>
      <c r="E22" s="3" t="s">
        <v>352</v>
      </c>
      <c r="F22" s="205" t="s">
        <v>15</v>
      </c>
      <c r="G22" s="205"/>
    </row>
    <row r="23" spans="1:7" ht="78" customHeight="1" thickBot="1">
      <c r="A23" s="1" t="s">
        <v>268</v>
      </c>
      <c r="B23" s="12">
        <f>('Data and Values'!B9*'Data and Values'!C9+'Data and Values'!B9*'Data and Values'!D9*Assumptions!H5*(1+B25))*'National Data'!B17*Assumptions!G5*(1+B25)+('Data and Values'!B10*'Data and Values'!C10+'Data and Values'!B10*'Data and Values'!D10*Assumptions!H6*(1+B25))*'National Data'!B18*Assumptions!G6*(1+B25)+('Data and Values'!B11*'Data and Values'!C11+'Data and Values'!B11*'Data and Values'!D11*Assumptions!H7*(1+B25))*'National Data'!B19*Assumptions!G7*(1+B25)+('Data and Values'!B12*'Data and Values'!C12+'Data and Values'!B12*'Data and Values'!D12*Assumptions!H8*(1+B25))*'National Data'!B20*Assumptions!G8*(1+B25)+('Data and Values'!B13*'Data and Values'!C13+'Data and Values'!B13*'Data and Values'!D13*Assumptions!H9*(1+B25))*'National Data'!B21*Assumptions!G9*(1+B25)+('Data and Values'!B14*'Data and Values'!C14+'Data and Values'!B14*'Data and Values'!D14*Assumptions!H10*(1+B25))*'National Data'!B22*Assumptions!G10*(1+B25)+Assumptions!F5*(1+B25)*'National Data'!B20*Assumptions!G5*(1+B25)*('Data and Values'!B9*'Data and Values'!C9+'Data and Values'!B9*'Data and Values'!D9*Assumptions!H5*(1+B25))+Assumptions!F6*(1+B25)*'National Data'!B21*Assumptions!G6*(1+B25)*('Data and Values'!B10*'Data and Values'!C10+'Data and Values'!B10*'Data and Values'!D10*Assumptions!H6*(1+B25))+Assumptions!F7*(1+B25)*'National Data'!B22*Assumptions!G7*(1+B25)*('Data and Values'!B11*'Data and Values'!C11+'Data and Values'!B11*'Data and Values'!D11*Assumptions!H7*(1+B25))+Assumptions!F9*(1+B25)*'National Data'!B24*Assumptions!G9*(1+B25)*('Data and Values'!B13*'Data and Values'!C13+'Data and Values'!B13*'Data and Values'!D13*Assumptions!H9*(1+B25))+Assumptions!F10*(1+B25)*'National Data'!B25*Assumptions!G10*(1+B25)*('Data and Values'!B14*'Data and Values'!C14+'Data and Values'!B14*'Data and Values'!D14*Assumptions!H10*(1+B25))+('Data and Values'!B19*Assumptions!B13*(1+B25)*Assumptions!E13*(1+B25))*'Data and Values'!D37</f>
        <v>44.211792985372746</v>
      </c>
      <c r="C23" s="91">
        <f>('Data and Values'!B9*'Data and Values'!C9+'Data and Values'!B9*'Data and Values'!D9*Assumptions!H5*(1+B25))*'National Data'!F17*Assumptions!G5*(1+B25)+('Data and Values'!B10*'Data and Values'!C10+'Data and Values'!B10*'Data and Values'!D10*Assumptions!H6*(1+B25))*'National Data'!F18*Assumptions!G6*(1+B25)+('Data and Values'!B11*'Data and Values'!C11+'Data and Values'!B11*'Data and Values'!D11*Assumptions!H7*(1+B25))*'National Data'!F19*Assumptions!G7*(1+B25)+('Data and Values'!B12*'Data and Values'!C12+'Data and Values'!B12*'Data and Values'!D12*Assumptions!H8*(1+B25))*'National Data'!F20*Assumptions!G8*(1+B25)+('Data and Values'!B13*'Data and Values'!C13+'Data and Values'!B13*'Data and Values'!D13*Assumptions!H9*(1+B25))*'National Data'!F21*Assumptions!G9*(1+B25)+('Data and Values'!B14*'Data and Values'!C14+'Data and Values'!B14*'Data and Values'!D14*Assumptions!H10*(1+B25))*'National Data'!F22*Assumptions!G10*(1+B25)+(Assumptions!F5*(1+B25)*'National Data'!B20*Assumptions!G5*(1+B25)*('Data and Values'!B9*'Data and Values'!C9+'Data and Values'!B9*'Data and Values'!D9*Assumptions!H5*(1+B25))+Assumptions!F6*1.05*'National Data'!B21*Assumptions!G6*1.05*('Data and Values'!B10*'Data and Values'!C10+'Data and Values'!B10*'Data and Values'!D10*Assumptions!H6*(1+B25))+Assumptions!F7*(1+B25)*'National Data'!B22*Assumptions!G7*(1+B25)*('Data and Values'!B11*'Data and Values'!C11+'Data and Values'!B11*'Data and Values'!D11*Assumptions!H7*(1+B25))+Assumptions!F9*(1+B25)*'National Data'!B24*Assumptions!G9*(1+B25)*('Data and Values'!B13*'Data and Values'!C13+'Data and Values'!B13*'Data and Values'!D13*Assumptions!H9*(1+B25))+Assumptions!F10*(1+B25)*'National Data'!B25*Assumptions!G10*(1+B25)*('Data and Values'!B14*'Data and Values'!C14+'Data and Values'!B14*'Data and Values'!D14*Assumptions!H10*(1+B25)))*'National Data'!G20+('Data and Values'!B19*'Data and Values'!C19*Assumptions!B13*(1+B25))+('Data and Values'!B22*'Data and Values'!C22)</f>
        <v>227772.19724929036</v>
      </c>
      <c r="D23" s="91">
        <f>('Data and Values'!B9*'Data and Values'!C9+'Data and Values'!B9*'Data and Values'!D9*Assumptions!H5*(1+B25))*'National Data'!H17*Assumptions!G5*(1+B25)+('Data and Values'!B10*'Data and Values'!C10+'Data and Values'!B10*'Data and Values'!D10*Assumptions!H6*(1+B25))*'National Data'!H18*Assumptions!G6*(1+B25)+('Data and Values'!B11*'Data and Values'!C11+'Data and Values'!B11*'Data and Values'!D11*Assumptions!H7*(1+B25))*'National Data'!H19*Assumptions!G7*(1+B25)+('Data and Values'!B12*'Data and Values'!C12+'Data and Values'!B12*'Data and Values'!D12*Assumptions!H8*(1+B25))*'National Data'!H20*Assumptions!G8*(1+B25)+('Data and Values'!B13*'Data and Values'!C13+'Data and Values'!B13*'Data and Values'!D13*Assumptions!H9*(1+B25))*'National Data'!H21*Assumptions!G9*(1+B25)+('Data and Values'!B14*'Data and Values'!C14+'Data and Values'!B14*'Data and Values'!D14*Assumptions!H10*(1+B25))*'National Data'!H22*Assumptions!G10*(1+B25)+B6*'National Data'!H20*Assumptions!G8*(1+B25)/'National Data'!B20+'National Data'!B27*(Assumptions!G6*(1+B25)*'Data and Values'!B10*'Data and Values'!C10+Assumptions!H6*(1+B25)*'Data and Values'!B10*'Data and Values'!D10)+IF('Data and Values'!B31=0,'Data and Values'!B29*'Data and Values'!C29*'Data and Values'!B30*Assumptions!E17*(1+B25)*'National Data'!B26-'Data and Values'!E29,'Data and Values'!B29*'Data and Values'!C29*('Data and Values'!B30-'Data and Values'!B31)*'National Data'!B26-'Data and Values'!E29)</f>
        <v>30373.70811089757</v>
      </c>
      <c r="E23" s="91">
        <f>('Data and Values'!B5-C23-D23)/'Results '!B23</f>
        <v>3208.512594970844</v>
      </c>
      <c r="F23" s="201" t="s">
        <v>267</v>
      </c>
      <c r="G23" s="202"/>
    </row>
    <row r="24" spans="1:7" ht="81.75" customHeight="1" thickBot="1">
      <c r="A24" s="1" t="s">
        <v>269</v>
      </c>
      <c r="B24" s="104">
        <f>('Data and Values'!B9*'Data and Values'!C9+'Data and Values'!B9*'Data and Values'!D9*Assumptions!H5*(1-B25))*'National Data'!B17*Assumptions!G5*(1-B25)+('Data and Values'!B10*'Data and Values'!C10+'Data and Values'!B10*'Data and Values'!D10*Assumptions!H6*(1-B25))*'National Data'!B18*Assumptions!G6*(1-B25)+('Data and Values'!B11*'Data and Values'!C11+'Data and Values'!B11*'Data and Values'!D11*Assumptions!H7*(1-B25))*'National Data'!B19*Assumptions!G7*(1-B25)+('Data and Values'!B12*'Data and Values'!C12+'Data and Values'!B12*'Data and Values'!D12*Assumptions!H8*(1-B25))*'National Data'!B20*Assumptions!G8*(1-B25)+('Data and Values'!B13*'Data and Values'!C13+'Data and Values'!B13*'Data and Values'!D13*Assumptions!H9*(1-B25))*'National Data'!B21*Assumptions!G9*(1-B25)+('Data and Values'!B14*'Data and Values'!C14+'Data and Values'!B14*'Data and Values'!D14*Assumptions!H10*(1-B25))*'National Data'!B22*Assumptions!G10*(1-B25)+Assumptions!F5*(1-B25)*'National Data'!B20*Assumptions!G5*(1-B25)*('Data and Values'!B9*'Data and Values'!C9+'Data and Values'!B9*'Data and Values'!D9*Assumptions!H5*(1-B25))+Assumptions!F6*(1-B25)*'National Data'!B21*Assumptions!G6*(1-B25)*('Data and Values'!B10*'Data and Values'!C10+'Data and Values'!B10*'Data and Values'!D10*Assumptions!H6*(1-B25))+Assumptions!F7*(1-B25)*'National Data'!B22*Assumptions!G7*(1-B25)*('Data and Values'!B11*'Data and Values'!C11+'Data and Values'!B11*'Data and Values'!D11*Assumptions!H7*(1-B25))+Assumptions!F9*(1-B25)*'National Data'!B24*Assumptions!G9*(1-B25)*('Data and Values'!B13*'Data and Values'!C13+'Data and Values'!B13*'Data and Values'!D13*Assumptions!H9*(1-B25))+Assumptions!F10*(1-B25)*'National Data'!B25*Assumptions!G10*(1-B25)*('Data and Values'!B14*'Data and Values'!C14+'Data and Values'!B14*'Data and Values'!D14*Assumptions!H10*(1-B25))+('Data and Values'!B19*Assumptions!B13*(1-B25)*Assumptions!E13*(1-B25))*'Data and Values'!D37</f>
        <v>33.48095581957307</v>
      </c>
      <c r="C24" s="91">
        <f>('Data and Values'!B9*'Data and Values'!C9+'Data and Values'!B9*'Data and Values'!D9*Assumptions!H5*(1-B25))*'National Data'!F17*Assumptions!G5*(1-B25)+('Data and Values'!B10*'Data and Values'!C10+'Data and Values'!B10*'Data and Values'!D10*Assumptions!H6*(1-B25))*'National Data'!F18*Assumptions!G6*(1-B25)+('Data and Values'!B11*'Data and Values'!C11+'Data and Values'!B11*'Data and Values'!D11*Assumptions!H7*(1-B25))*'National Data'!F19*Assumptions!G7*(1-B25)+('Data and Values'!B12*'Data and Values'!C12+'Data and Values'!B12*'Data and Values'!D12*Assumptions!H8*(1-B25))*'National Data'!F20*Assumptions!G8*(1-B25)+('Data and Values'!B13*'Data and Values'!C13+'Data and Values'!B13*'Data and Values'!D13*Assumptions!H9*(1-B25))*'National Data'!F21*Assumptions!G9*(1-B25)+('Data and Values'!B14*'Data and Values'!C14+'Data and Values'!B14*'Data and Values'!D14*Assumptions!H10*(1-B25))*'National Data'!F22*Assumptions!G10*(1-B25)+(Assumptions!F5*(1-B25)*'National Data'!B20*Assumptions!G5*(1-B25)*('Data and Values'!B9*'Data and Values'!C9+'Data and Values'!B9*'Data and Values'!D9*Assumptions!H5*(1-B25))+Assumptions!F6*(1-B25)*'National Data'!B21*Assumptions!G6*(1-B25)*('Data and Values'!B10*'Data and Values'!C10+'Data and Values'!B10*'Data and Values'!D10*Assumptions!H6*(1-B25))+Assumptions!F7*(1-B25)*'National Data'!B22*Assumptions!G7*(1-B25)*('Data and Values'!B11*'Data and Values'!C11+'Data and Values'!B11*'Data and Values'!D11*Assumptions!H7*(1-B25))+Assumptions!F9*(1-B25)*'National Data'!B24*Assumptions!G9*(1-B25)*('Data and Values'!B13*'Data and Values'!C13+'Data and Values'!B13*'Data and Values'!D13*Assumptions!H9*(1-B25))+Assumptions!F10*(1-B25)*'National Data'!B25*Assumptions!G10*(1-B25)*('Data and Values'!B14*'Data and Values'!C14+'Data and Values'!B14*'Data and Values'!D14*Assumptions!H10*(1-B25)))*'National Data'!G20+('Data and Values'!B19*'Data and Values'!C19*Assumptions!B13*(1-B25))+('Data and Values'!B22*'Data and Values'!C22)</f>
        <v>174587.00692195338</v>
      </c>
      <c r="D24" s="91">
        <f>('Data and Values'!B9*'Data and Values'!C9+'Data and Values'!B9*'Data and Values'!D9*Assumptions!H5*(1-B25))*'National Data'!H17*Assumptions!G5*(1-B25)+('Data and Values'!B10*'Data and Values'!C10+'Data and Values'!B10*'Data and Values'!D10*Assumptions!H6*(1-B25))*'National Data'!H18*Assumptions!G6*(1-B25)+('Data and Values'!B11*'Data and Values'!C11+'Data and Values'!B11*'Data and Values'!D11*Assumptions!H7*(1-B25))*'National Data'!H19*Assumptions!G7*(1-B25)+('Data and Values'!B12*'Data and Values'!C12+'Data and Values'!B12*'Data and Values'!D12*Assumptions!H8*(1-B25))*'National Data'!H20*Assumptions!G8*(1-B25)+('Data and Values'!B13*'Data and Values'!C13+'Data and Values'!B13*'Data and Values'!D13*Assumptions!H9*(1-B25))*'National Data'!H21*Assumptions!G9*(1-B25)+('Data and Values'!B14*'Data and Values'!C14+'Data and Values'!B14*'Data and Values'!D14*Assumptions!H10*(1-B25))*'National Data'!H22*Assumptions!G10*(1-B25)+B6*'National Data'!H20*Assumptions!G8*(1-B25)/'National Data'!B20+'National Data'!B27*(Assumptions!G6*(1-B25)*'Data and Values'!B10*'Data and Values'!C10+Assumptions!H6*(1-B25)*'Data and Values'!B10*'Data and Values'!D10)+IF('Data and Values'!B31=0,'Data and Values'!B29*'Data and Values'!C29*'Data and Values'!B30*Assumptions!E17*(1-B25)*'National Data'!B26-'Data and Values'!E29,'Data and Values'!B29*'Data and Values'!C29*('Data and Values'!B30-'Data and Values'!B31)*'National Data'!B26-'Data and Values'!E29)</f>
        <v>23993.464359686157</v>
      </c>
      <c r="E24" s="91">
        <f>('Data and Values'!B5-C24-D24)/'Results '!B24</f>
        <v>6015.943206753076</v>
      </c>
      <c r="F24" s="203"/>
      <c r="G24" s="204"/>
    </row>
    <row r="25" spans="1:3" ht="69" customHeight="1" thickBot="1">
      <c r="A25" s="1" t="s">
        <v>305</v>
      </c>
      <c r="B25" s="106">
        <v>0.1</v>
      </c>
      <c r="C25" s="105"/>
    </row>
    <row r="26" spans="1:2" ht="69" customHeight="1" thickBot="1">
      <c r="A26" s="124" t="s">
        <v>343</v>
      </c>
      <c r="B26" s="123">
        <v>0.035</v>
      </c>
    </row>
    <row r="27" ht="78.75" customHeight="1"/>
    <row r="28" ht="59.25" customHeight="1"/>
  </sheetData>
  <sheetProtection password="CF68" sheet="1"/>
  <mergeCells count="18">
    <mergeCell ref="F23:G24"/>
    <mergeCell ref="F22:G22"/>
    <mergeCell ref="F17:G17"/>
    <mergeCell ref="F18:G18"/>
    <mergeCell ref="F12:G12"/>
    <mergeCell ref="F13:G13"/>
    <mergeCell ref="F16:G16"/>
    <mergeCell ref="F15:G15"/>
    <mergeCell ref="F19:G19"/>
    <mergeCell ref="F11:G11"/>
    <mergeCell ref="A2:H2"/>
    <mergeCell ref="F9:G9"/>
    <mergeCell ref="F4:G4"/>
    <mergeCell ref="F5:G5"/>
    <mergeCell ref="F7:G7"/>
    <mergeCell ref="F8:G8"/>
    <mergeCell ref="F6:G6"/>
    <mergeCell ref="F10:G10"/>
  </mergeCells>
  <printOptions/>
  <pageMargins left="0.75" right="0.75" top="1" bottom="1" header="0.5" footer="0.5"/>
  <pageSetup fitToHeight="1" fitToWidth="1" horizontalDpi="600" verticalDpi="600" orientation="portrait" paperSize="9" scale="48" r:id="rId1"/>
</worksheet>
</file>

<file path=xl/worksheets/sheet5.xml><?xml version="1.0" encoding="utf-8"?>
<worksheet xmlns="http://schemas.openxmlformats.org/spreadsheetml/2006/main" xmlns:r="http://schemas.openxmlformats.org/officeDocument/2006/relationships">
  <sheetPr>
    <tabColor indexed="61"/>
  </sheetPr>
  <dimension ref="A2:P27"/>
  <sheetViews>
    <sheetView showGridLines="0" showRowColHeaders="0" zoomScalePageLayoutView="0" workbookViewId="0" topLeftCell="A1">
      <selection activeCell="I23" sqref="I23:J23"/>
    </sheetView>
  </sheetViews>
  <sheetFormatPr defaultColWidth="9.140625" defaultRowHeight="12.75"/>
  <cols>
    <col min="1" max="2" width="25.00390625" style="0" customWidth="1"/>
    <col min="3" max="3" width="18.7109375" style="0" customWidth="1"/>
    <col min="4" max="4" width="15.8515625" style="0" customWidth="1"/>
    <col min="5" max="5" width="16.421875" style="0" customWidth="1"/>
    <col min="6" max="6" width="18.421875" style="0" customWidth="1"/>
    <col min="7" max="7" width="21.7109375" style="0" customWidth="1"/>
    <col min="8" max="8" width="27.421875" style="0" customWidth="1"/>
    <col min="9" max="9" width="16.57421875" style="0" customWidth="1"/>
  </cols>
  <sheetData>
    <row r="2" spans="1:16" ht="23.25">
      <c r="A2" s="210" t="s">
        <v>345</v>
      </c>
      <c r="B2" s="210"/>
      <c r="C2" s="210"/>
      <c r="D2" s="210"/>
      <c r="E2" s="210"/>
      <c r="F2" s="210"/>
      <c r="G2" s="210"/>
      <c r="H2" s="210"/>
      <c r="I2" s="210"/>
      <c r="J2" s="210"/>
      <c r="K2" s="210"/>
      <c r="L2" s="210"/>
      <c r="M2" s="210"/>
      <c r="N2" s="210"/>
      <c r="O2" s="210"/>
      <c r="P2" s="210"/>
    </row>
    <row r="3" spans="1:16" ht="12.75">
      <c r="A3" s="80"/>
      <c r="B3" s="80"/>
      <c r="C3" s="80"/>
      <c r="D3" s="80"/>
      <c r="E3" s="80"/>
      <c r="F3" s="80"/>
      <c r="G3" s="80"/>
      <c r="H3" s="80"/>
      <c r="I3" s="80"/>
      <c r="J3" s="80"/>
      <c r="K3" s="80"/>
      <c r="L3" s="80"/>
      <c r="M3" s="80"/>
      <c r="N3" s="80"/>
      <c r="O3" s="80"/>
      <c r="P3" s="80"/>
    </row>
    <row r="4" spans="1:16" ht="18">
      <c r="A4" s="211"/>
      <c r="B4" s="211"/>
      <c r="C4" s="211"/>
      <c r="D4" s="211"/>
      <c r="E4" s="211"/>
      <c r="F4" s="211"/>
      <c r="G4" s="211"/>
      <c r="H4" s="211"/>
      <c r="I4" s="212"/>
      <c r="J4" s="212"/>
      <c r="K4" s="212"/>
      <c r="L4" s="80"/>
      <c r="M4" s="80"/>
      <c r="N4" s="80"/>
      <c r="O4" s="80"/>
      <c r="P4" s="80"/>
    </row>
    <row r="5" ht="13.5" thickBot="1"/>
    <row r="6" spans="1:8" ht="135" customHeight="1" thickBot="1">
      <c r="A6" s="3" t="s">
        <v>227</v>
      </c>
      <c r="B6" s="5" t="s">
        <v>304</v>
      </c>
      <c r="C6" s="5" t="s">
        <v>228</v>
      </c>
      <c r="D6" s="5" t="s">
        <v>229</v>
      </c>
      <c r="E6" s="5" t="s">
        <v>230</v>
      </c>
      <c r="F6" s="5" t="s">
        <v>261</v>
      </c>
      <c r="G6" s="5" t="s">
        <v>260</v>
      </c>
      <c r="H6" s="5" t="s">
        <v>302</v>
      </c>
    </row>
    <row r="7" spans="1:8" ht="24.75" customHeight="1" thickBot="1">
      <c r="A7" s="1" t="s">
        <v>176</v>
      </c>
      <c r="B7" s="78">
        <f>13100*'Look Up Tables'!J6</f>
        <v>15326.999999999998</v>
      </c>
      <c r="C7" s="78">
        <f>B7*1000000/'National Data'!G5</f>
        <v>1419.1666666666665</v>
      </c>
      <c r="D7" s="78">
        <f>B13*1000000*'National Data'!E5/('National Data'!E12*'National Data'!G5)</f>
        <v>344.2075</v>
      </c>
      <c r="E7" s="78">
        <f aca="true" t="shared" si="0" ref="E7:E12">D7+C7</f>
        <v>1763.3741666666665</v>
      </c>
      <c r="F7" s="78">
        <f>('Data and Values'!B9*'Data and Values'!C9+'Data and Values'!B9*'Data and Values'!D9*Assumptions!H5)*(E7*Assumptions!G5)</f>
        <v>31466.794542282812</v>
      </c>
      <c r="G7" s="78">
        <f>('Data and Values'!B9*'Data and Values'!C9+'Data and Values'!B9*'Data and Values'!D9*Assumptions!H5)*(E10*Assumptions!G5*Assumptions!F5)</f>
        <v>1070.7808716601326</v>
      </c>
      <c r="H7" s="122">
        <f>E7*'Look Up Tables'!C41</f>
        <v>37032.02325869412</v>
      </c>
    </row>
    <row r="8" spans="1:8" ht="23.25" customHeight="1" thickBot="1">
      <c r="A8" s="1" t="s">
        <v>231</v>
      </c>
      <c r="B8" s="78">
        <f>17200*'Look Up Tables'!J6</f>
        <v>20124</v>
      </c>
      <c r="C8" s="78">
        <f>B8*1000000/'National Data'!G6</f>
        <v>2472.235872235872</v>
      </c>
      <c r="D8" s="78">
        <f>B13*1000000*'National Data'!E6/('National Data'!E12*'National Data'!G6)</f>
        <v>211.0743243243243</v>
      </c>
      <c r="E8" s="78">
        <f t="shared" si="0"/>
        <v>2683.3101965601963</v>
      </c>
      <c r="F8" s="78">
        <f>('Data and Values'!B10*'Data and Values'!C10+'Data and Values'!B10*'Data and Values'!D10*Assumptions!H6)*E8*Assumptions!G6</f>
        <v>72847.49911975904</v>
      </c>
      <c r="G8" s="78">
        <f>('Data and Values'!B10*'Data and Values'!C10+'Data and Values'!B10*'Data and Values'!D10*Assumptions!H6)*(E10*Assumptions!G6*Assumptions!F6)</f>
        <v>1629.0572234683611</v>
      </c>
      <c r="H8" s="122">
        <f>E8*'Look Up Tables'!C41</f>
        <v>56351.288052011056</v>
      </c>
    </row>
    <row r="9" spans="1:8" ht="25.5" customHeight="1" thickBot="1">
      <c r="A9" s="1" t="s">
        <v>178</v>
      </c>
      <c r="B9" s="79"/>
      <c r="C9" s="79"/>
      <c r="D9" s="78">
        <f>B13*1000000*'National Data'!E7/('National Data'!E12*'National Data'!G7)</f>
        <v>298.8530999999999</v>
      </c>
      <c r="E9" s="78">
        <f t="shared" si="0"/>
        <v>298.8530999999999</v>
      </c>
      <c r="F9" s="78">
        <f>('Data and Values'!B11*'Data and Values'!C11+'Data and Values'!B11*'Data and Values'!D11*Assumptions!H7)*E9*Assumptions!G7</f>
        <v>63518.99271149953</v>
      </c>
      <c r="G9" s="78">
        <f>('Data and Values'!B11*'Data and Values'!C11+'Data and Values'!B11*'Data and Values'!D11*Assumptions!H7)*E10*Assumptions!G7*Assumptions!F7</f>
        <v>12753.765024951936</v>
      </c>
      <c r="H9" s="122">
        <f>E9*'Look Up Tables'!C41</f>
        <v>6276.1126704340995</v>
      </c>
    </row>
    <row r="10" spans="1:8" ht="23.25" customHeight="1" thickBot="1">
      <c r="A10" s="1" t="s">
        <v>198</v>
      </c>
      <c r="B10" s="79"/>
      <c r="C10" s="79"/>
      <c r="D10" s="78">
        <f>B13*1000000*'National Data'!E8/('National Data'!E12*'National Data'!G8)</f>
        <v>240.02283737024217</v>
      </c>
      <c r="E10" s="78">
        <f t="shared" si="0"/>
        <v>240.02283737024217</v>
      </c>
      <c r="F10" s="78">
        <f>('Data and Values'!B12*'Data and Values'!C12+'Data and Values'!B12*'Data and Values'!D12*Assumptions!H8)*E10*Assumptions!G8</f>
        <v>0</v>
      </c>
      <c r="G10" s="78">
        <f>0</f>
        <v>0</v>
      </c>
      <c r="H10" s="122">
        <f>E10*'Look Up Tables'!C41</f>
        <v>5040.638262788375</v>
      </c>
    </row>
    <row r="11" spans="1:8" ht="25.5" customHeight="1" thickBot="1">
      <c r="A11" s="1" t="s">
        <v>233</v>
      </c>
      <c r="B11" s="78">
        <f>7600*'Look Up Tables'!J6</f>
        <v>8892</v>
      </c>
      <c r="C11" s="78">
        <f>B11*1000000/'National Data'!G9</f>
        <v>2615.294117647059</v>
      </c>
      <c r="D11" s="78">
        <f>B13*1000000*'National Data'!E9/('National Data'!E12*'National Data'!G9)</f>
        <v>67.82332587014044</v>
      </c>
      <c r="E11" s="78">
        <f t="shared" si="0"/>
        <v>2683.1174435171993</v>
      </c>
      <c r="F11" s="78">
        <f>('Data and Values'!B13*'Data and Values'!C13+'Data and Values'!B13*'Data and Values'!D13*Assumptions!H9)*E11*Assumptions!G9</f>
        <v>0</v>
      </c>
      <c r="G11" s="78">
        <f>('Data and Values'!B13*'Data and Values'!C13+'Data and Values'!B13*'Data and Values'!D13*Assumptions!H9)*E10*Assumptions!G9*Assumptions!F9</f>
        <v>0</v>
      </c>
      <c r="H11" s="122">
        <f>E11*'Look Up Tables'!C41</f>
        <v>56347.24011067995</v>
      </c>
    </row>
    <row r="12" spans="1:8" ht="27.75" customHeight="1" thickBot="1">
      <c r="A12" s="1" t="s">
        <v>234</v>
      </c>
      <c r="B12" s="79"/>
      <c r="C12" s="43"/>
      <c r="D12" s="78">
        <f>B13*1000000*'National Data'!E10/('National Data'!E12*'National Data'!G10)</f>
        <v>68.459169550173</v>
      </c>
      <c r="E12" s="78">
        <f t="shared" si="0"/>
        <v>68.459169550173</v>
      </c>
      <c r="F12" s="78">
        <f>('Data and Values'!B14*'Data and Values'!C14+'Data and Values'!B14*'Data and Values'!D14*Assumptions!H10)*E12*Assumptions!G10</f>
        <v>0</v>
      </c>
      <c r="G12" s="78">
        <f>('Data and Values'!B14*'Data and Values'!C14+'Data and Values'!B14*'Data and Values'!D14*Assumptions!H10)*E10*Assumptions!G10*Assumptions!F10</f>
        <v>0</v>
      </c>
      <c r="H12" s="122">
        <f>E12*'Look Up Tables'!C41</f>
        <v>1437.6878186013034</v>
      </c>
    </row>
    <row r="13" spans="1:8" ht="33.75" customHeight="1" thickBot="1">
      <c r="A13" s="1" t="s">
        <v>232</v>
      </c>
      <c r="B13" s="47">
        <f>26700*'Look Up Tables'!J6</f>
        <v>31238.999999999996</v>
      </c>
      <c r="C13" s="47"/>
      <c r="D13" s="47"/>
      <c r="E13" s="77"/>
      <c r="F13" s="78"/>
      <c r="G13" s="44"/>
      <c r="H13" s="66"/>
    </row>
    <row r="14" spans="1:8" ht="40.5" customHeight="1" thickBot="1">
      <c r="A14" s="1" t="s">
        <v>235</v>
      </c>
      <c r="B14" s="77"/>
      <c r="C14" s="77"/>
      <c r="D14" s="77"/>
      <c r="E14" s="77"/>
      <c r="F14" s="78">
        <f>F12+F11+F10+F9+F8+F7</f>
        <v>167833.2863735414</v>
      </c>
      <c r="G14" s="44">
        <f>G7+G8+G9+G10+G11+G12</f>
        <v>15453.603120080428</v>
      </c>
      <c r="H14" s="66"/>
    </row>
    <row r="17" ht="13.5" thickBot="1"/>
    <row r="18" spans="1:2" ht="76.5" customHeight="1" thickBot="1">
      <c r="A18" s="76" t="s">
        <v>236</v>
      </c>
      <c r="B18" s="74">
        <f>'Data and Values'!B29*'Data and Values'!C29*'Data and Values'!B30*Assumptions!E17*Assumptions!H17-'Data and Values'!E29</f>
        <v>0</v>
      </c>
    </row>
    <row r="19" spans="1:2" ht="64.5" customHeight="1" thickBot="1">
      <c r="A19" s="76" t="s">
        <v>349</v>
      </c>
      <c r="B19" s="74">
        <f>'Results '!C14</f>
        <v>7442.728708545703</v>
      </c>
    </row>
    <row r="20" ht="13.5" thickBot="1"/>
    <row r="21" spans="1:10" ht="157.5" customHeight="1" thickBot="1">
      <c r="A21" s="31" t="s">
        <v>237</v>
      </c>
      <c r="B21" s="9" t="s">
        <v>244</v>
      </c>
      <c r="C21" s="31" t="s">
        <v>247</v>
      </c>
      <c r="D21" s="31" t="s">
        <v>241</v>
      </c>
      <c r="E21" s="31" t="s">
        <v>358</v>
      </c>
      <c r="F21" s="31" t="s">
        <v>242</v>
      </c>
      <c r="G21" s="31" t="s">
        <v>251</v>
      </c>
      <c r="H21" s="3" t="s">
        <v>356</v>
      </c>
      <c r="I21" s="193" t="s">
        <v>15</v>
      </c>
      <c r="J21" s="194"/>
    </row>
    <row r="22" spans="1:7" ht="30" customHeight="1" hidden="1" thickBot="1">
      <c r="A22" s="1" t="s">
        <v>176</v>
      </c>
      <c r="B22" s="78">
        <v>3024</v>
      </c>
      <c r="C22" s="78">
        <v>3608</v>
      </c>
      <c r="D22" s="88"/>
      <c r="E22" s="88"/>
      <c r="F22" s="88"/>
      <c r="G22" s="88"/>
    </row>
    <row r="23" spans="1:11" ht="105" customHeight="1" thickBot="1">
      <c r="A23" s="3" t="s">
        <v>246</v>
      </c>
      <c r="B23" s="82">
        <f>20000</f>
        <v>20000</v>
      </c>
      <c r="C23" s="141">
        <f>B23*'Results '!B8</f>
        <v>773707.9459593405</v>
      </c>
      <c r="D23" s="89">
        <f>'Results '!C15+'Results '!C14</f>
        <v>7442.728708545703</v>
      </c>
      <c r="E23" s="89">
        <f>'Results '!C19</f>
        <v>113538.90890053763</v>
      </c>
      <c r="F23" s="89">
        <f>'Results '!C13+'Results '!C12</f>
        <v>231572.54035743157</v>
      </c>
      <c r="G23" s="89">
        <f>C23+D23+E23+F23</f>
        <v>1126262.1239258554</v>
      </c>
      <c r="H23" s="142">
        <f>G23/'Data and Values'!B5</f>
        <v>2.8156553098146384</v>
      </c>
      <c r="I23" s="213" t="s">
        <v>362</v>
      </c>
      <c r="J23" s="214"/>
      <c r="K23" s="81"/>
    </row>
    <row r="24" ht="36" customHeight="1" thickBot="1"/>
    <row r="25" spans="1:6" ht="80.25" customHeight="1" thickBot="1">
      <c r="A25" s="3" t="s">
        <v>248</v>
      </c>
      <c r="B25" s="3" t="s">
        <v>249</v>
      </c>
      <c r="C25" s="31" t="s">
        <v>250</v>
      </c>
      <c r="D25" s="31" t="s">
        <v>252</v>
      </c>
      <c r="E25" s="31" t="s">
        <v>258</v>
      </c>
      <c r="F25" s="31" t="s">
        <v>259</v>
      </c>
    </row>
    <row r="26" spans="1:6" ht="54" customHeight="1" thickBot="1">
      <c r="A26" s="83" t="s">
        <v>15</v>
      </c>
      <c r="B26" s="96">
        <f>C23*(1+'Data and Values'!D37*('Data and Values'!D38))/1.2</f>
        <v>1125229.2560735343</v>
      </c>
      <c r="C26" s="97">
        <f>C23*'Data and Values'!D41</f>
        <v>924375.6456155368</v>
      </c>
      <c r="D26" s="98">
        <f>'Data and Values'!F43</f>
        <v>1.0600562819729364</v>
      </c>
      <c r="E26" s="143">
        <f>(B26+D23+F23)/'Data and Values'!B5</f>
        <v>3.4106113128487787</v>
      </c>
      <c r="F26" s="143">
        <f>(C26+D23+F23)/'Data and Values'!B5</f>
        <v>2.908477286703785</v>
      </c>
    </row>
    <row r="27" ht="54.75" customHeight="1">
      <c r="D27" s="99"/>
    </row>
    <row r="28" ht="45.75" customHeight="1"/>
  </sheetData>
  <sheetProtection password="CF68" sheet="1"/>
  <mergeCells count="4">
    <mergeCell ref="A2:P2"/>
    <mergeCell ref="A4:K4"/>
    <mergeCell ref="I21:J21"/>
    <mergeCell ref="I23:J2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tabColor indexed="57"/>
  </sheetPr>
  <dimension ref="A1:K17"/>
  <sheetViews>
    <sheetView showGridLines="0" showRowColHeaders="0" zoomScalePageLayoutView="0" workbookViewId="0" topLeftCell="A1">
      <selection activeCell="G8" sqref="G8"/>
    </sheetView>
  </sheetViews>
  <sheetFormatPr defaultColWidth="9.140625" defaultRowHeight="12.75"/>
  <cols>
    <col min="1" max="1" width="21.7109375" style="0" customWidth="1"/>
    <col min="2" max="2" width="12.8515625" style="0" customWidth="1"/>
    <col min="3" max="3" width="13.140625" style="0" customWidth="1"/>
    <col min="4" max="4" width="15.140625" style="0" customWidth="1"/>
    <col min="5" max="7" width="14.7109375" style="0" customWidth="1"/>
    <col min="8" max="8" width="14.8515625" style="0" customWidth="1"/>
    <col min="9" max="9" width="56.57421875" style="0" customWidth="1"/>
  </cols>
  <sheetData>
    <row r="1" spans="1:10" ht="23.25" customHeight="1">
      <c r="A1" s="30"/>
      <c r="B1" s="30"/>
      <c r="C1" s="30"/>
      <c r="D1" s="30"/>
      <c r="E1" s="30"/>
      <c r="F1" s="30"/>
      <c r="G1" s="30"/>
      <c r="H1" s="30"/>
      <c r="I1" s="30"/>
      <c r="J1" s="30"/>
    </row>
    <row r="2" spans="1:10" ht="36.75" customHeight="1">
      <c r="A2" s="215" t="s">
        <v>184</v>
      </c>
      <c r="B2" s="199"/>
      <c r="C2" s="199"/>
      <c r="D2" s="199"/>
      <c r="E2" s="199"/>
      <c r="F2" s="199"/>
      <c r="G2" s="199"/>
      <c r="H2" s="199"/>
      <c r="I2" s="199"/>
      <c r="J2" s="30"/>
    </row>
    <row r="3" ht="22.5" customHeight="1" thickBot="1"/>
    <row r="4" spans="1:9" ht="80.25" customHeight="1" thickBot="1">
      <c r="A4" s="32" t="s">
        <v>186</v>
      </c>
      <c r="B4" s="33" t="s">
        <v>172</v>
      </c>
      <c r="C4" s="33" t="s">
        <v>173</v>
      </c>
      <c r="D4" s="33" t="s">
        <v>174</v>
      </c>
      <c r="E4" s="33" t="s">
        <v>175</v>
      </c>
      <c r="F4" s="33" t="s">
        <v>182</v>
      </c>
      <c r="G4" s="10" t="s">
        <v>205</v>
      </c>
      <c r="H4" s="10" t="s">
        <v>185</v>
      </c>
      <c r="I4" s="36" t="s">
        <v>183</v>
      </c>
    </row>
    <row r="5" spans="1:9" ht="42.75" customHeight="1" thickBot="1">
      <c r="A5" s="1" t="s">
        <v>187</v>
      </c>
      <c r="B5" s="68">
        <v>0.35</v>
      </c>
      <c r="C5" s="68">
        <v>0.85</v>
      </c>
      <c r="D5" s="68">
        <v>0.15</v>
      </c>
      <c r="E5" s="68">
        <v>0.03</v>
      </c>
      <c r="F5" s="68">
        <v>0.25</v>
      </c>
      <c r="G5" s="69">
        <f>B5*((C5-(C5-D5)/5)*'Look Up Tables'!B7+(C5-2*(C5-D5)/5)*'Look Up Tables'!B8+(C5-3*(C5-D5)/5)*'Look Up Tables'!B9+(C5-4*(C5-D5)/5)*'Look Up Tables'!B10+(C5-5*(C5-D5)/5)*'Look Up Tables'!B11+D5*('Look Up Tables'!C40-'Look Up Tables'!C11)-E5*'Look Up Tables'!C40)</f>
        <v>1.2746178457634751</v>
      </c>
      <c r="H5" s="69">
        <v>0.5</v>
      </c>
      <c r="I5" s="126" t="s">
        <v>311</v>
      </c>
    </row>
    <row r="6" spans="1:11" ht="46.5" customHeight="1" thickBot="1">
      <c r="A6" s="1" t="s">
        <v>188</v>
      </c>
      <c r="B6" s="68">
        <v>0.35</v>
      </c>
      <c r="C6" s="68">
        <v>0.85</v>
      </c>
      <c r="D6" s="68">
        <v>0.15</v>
      </c>
      <c r="E6" s="68">
        <v>0.01</v>
      </c>
      <c r="F6" s="68">
        <v>0.25</v>
      </c>
      <c r="G6" s="69">
        <f>B6*((C6-(C6-D6)/5)*'Look Up Tables'!B7+(C6-2*(C6-D6)/5)*'Look Up Tables'!B8+(C6-3*(C6-D6)/5)*'Look Up Tables'!B9+(C6-4*(C6-D6)/5)*'Look Up Tables'!B10+(C6-5*(C6-D6)/5)*'Look Up Tables'!B11+D6*('Look Up Tables'!C40-'Look Up Tables'!C11)-E6*'Look Up Tables'!C40)</f>
        <v>1.4195226354002402</v>
      </c>
      <c r="H6" s="69">
        <v>0.5</v>
      </c>
      <c r="I6" s="126" t="s">
        <v>312</v>
      </c>
      <c r="K6" s="54"/>
    </row>
    <row r="7" spans="1:9" ht="48" customHeight="1" thickBot="1">
      <c r="A7" s="1" t="s">
        <v>189</v>
      </c>
      <c r="B7" s="68">
        <v>0.35</v>
      </c>
      <c r="C7" s="68">
        <v>0.85</v>
      </c>
      <c r="D7" s="68">
        <v>0.15</v>
      </c>
      <c r="E7" s="68">
        <v>0.03</v>
      </c>
      <c r="F7" s="68">
        <v>0.25</v>
      </c>
      <c r="G7" s="69">
        <f>B7*((C7-(C7-D7)/5)*'Look Up Tables'!B7+(C7-2*(C7-D7)/5)*'Look Up Tables'!B8+(C7-3*(C7-D7)/5)*'Look Up Tables'!B9+(C7-4*(C7-D7)/5)*'Look Up Tables'!B10+(C7-5*(C7-D7)/5)*'Look Up Tables'!B11+D7*('Look Up Tables'!C40-'Look Up Tables'!C11)-E7*'Look Up Tables'!C40)</f>
        <v>1.2746178457634751</v>
      </c>
      <c r="H7" s="69">
        <v>0.5</v>
      </c>
      <c r="I7" s="126" t="s">
        <v>313</v>
      </c>
    </row>
    <row r="8" spans="1:9" ht="59.25" customHeight="1" thickBot="1">
      <c r="A8" s="3" t="s">
        <v>190</v>
      </c>
      <c r="B8" s="70">
        <v>0.35</v>
      </c>
      <c r="C8" s="70">
        <v>0.85</v>
      </c>
      <c r="D8" s="70">
        <v>0.15</v>
      </c>
      <c r="E8" s="70">
        <v>0.03</v>
      </c>
      <c r="F8" s="70">
        <v>0</v>
      </c>
      <c r="G8" s="69">
        <f>B8*((C8-(C8-D8)/5)*'Look Up Tables'!B7+(C8-2*(C8-D8)/5)*'Look Up Tables'!B8+(C8-3*(C8-D8)/5)*'Look Up Tables'!B9+(C8-4*(C5-D8)/5)*'Look Up Tables'!B10+(C8-5*(C8-D8)/5)*'Look Up Tables'!B11+D8*('Look Up Tables'!C40-'Look Up Tables'!C11)-E8*'Look Up Tables'!C40)</f>
        <v>1.2746178457634751</v>
      </c>
      <c r="H8" s="69">
        <v>0.5</v>
      </c>
      <c r="I8" s="126" t="s">
        <v>314</v>
      </c>
    </row>
    <row r="9" spans="1:9" ht="33.75" customHeight="1" thickBot="1">
      <c r="A9" s="1" t="s">
        <v>316</v>
      </c>
      <c r="B9" s="68">
        <v>0.35</v>
      </c>
      <c r="C9" s="68">
        <v>0.85</v>
      </c>
      <c r="D9" s="68">
        <v>0.15</v>
      </c>
      <c r="E9" s="68">
        <v>0.01</v>
      </c>
      <c r="F9" s="68">
        <v>0.25</v>
      </c>
      <c r="G9" s="69">
        <f>B9*((C9-(C9-D9)/5)*'Look Up Tables'!B7+(C9-2*(C9-D9)/5)*'Look Up Tables'!B8+(C9-3*(C9-D9)/5)*'Look Up Tables'!B9+(C9-4*(C9-D9)/5)*'Look Up Tables'!B10+(C9-5*(C9-D9)/5)*'Look Up Tables'!B11+D9*('Look Up Tables'!C40-'Look Up Tables'!C11)-E9*'Look Up Tables'!C40)</f>
        <v>1.4195226354002402</v>
      </c>
      <c r="H9" s="69">
        <v>0.5</v>
      </c>
      <c r="I9" s="126" t="s">
        <v>315</v>
      </c>
    </row>
    <row r="10" spans="1:9" ht="54.75" customHeight="1" thickBot="1">
      <c r="A10" s="1" t="s">
        <v>191</v>
      </c>
      <c r="B10" s="68">
        <v>0.35</v>
      </c>
      <c r="C10" s="68">
        <v>0.85</v>
      </c>
      <c r="D10" s="68">
        <v>0.15</v>
      </c>
      <c r="E10" s="68">
        <v>0.01</v>
      </c>
      <c r="F10" s="68">
        <v>0.25</v>
      </c>
      <c r="G10" s="69">
        <f>B10*((C10-(C10-D10)/5)*'Look Up Tables'!B7+(C10-2*(C10-D10)/5)*'Look Up Tables'!B8+(C10-3*(C10-D10)/5)*'Look Up Tables'!B9+(C10-4*(C10-D10)/5)*'Look Up Tables'!B10+(C10-5*(C10-D10)/5)*'Look Up Tables'!B11+D10*('Look Up Tables'!C40-'Look Up Tables'!C11)-E10*'Look Up Tables'!C40)</f>
        <v>1.4195226354002402</v>
      </c>
      <c r="H10" s="69">
        <v>0.5</v>
      </c>
      <c r="I10" s="126" t="s">
        <v>317</v>
      </c>
    </row>
    <row r="11" ht="22.5" customHeight="1"/>
    <row r="12" ht="13.5" customHeight="1" thickBot="1">
      <c r="H12" s="40"/>
    </row>
    <row r="13" spans="1:9" ht="95.25" thickBot="1">
      <c r="A13" s="3" t="s">
        <v>192</v>
      </c>
      <c r="B13" s="71">
        <v>0.7</v>
      </c>
      <c r="C13" s="38"/>
      <c r="D13" s="39" t="s">
        <v>212</v>
      </c>
      <c r="E13" s="72">
        <v>0.0233</v>
      </c>
      <c r="F13" s="49"/>
      <c r="G13" s="101" t="s">
        <v>262</v>
      </c>
      <c r="H13" s="102">
        <f>'Data and Values'!D38</f>
        <v>1.5</v>
      </c>
      <c r="I13" s="103"/>
    </row>
    <row r="14" ht="97.5" customHeight="1">
      <c r="B14" s="37"/>
    </row>
    <row r="15" ht="13.5" customHeight="1"/>
    <row r="16" ht="13.5" thickBot="1"/>
    <row r="17" spans="1:9" ht="95.25" thickBot="1">
      <c r="A17" s="3" t="s">
        <v>207</v>
      </c>
      <c r="B17" s="71">
        <f>'Data and Values'!D41</f>
        <v>1.1947345900259296</v>
      </c>
      <c r="D17" s="3" t="s">
        <v>213</v>
      </c>
      <c r="E17" s="71">
        <v>0.1</v>
      </c>
      <c r="G17" s="3" t="s">
        <v>226</v>
      </c>
      <c r="H17" s="73">
        <f>325000*'Look Up Tables'!J6</f>
        <v>380250</v>
      </c>
      <c r="I17" s="67"/>
    </row>
    <row r="19" ht="99.75" customHeight="1"/>
    <row r="21" ht="27" customHeight="1"/>
    <row r="22" ht="43.5" customHeight="1"/>
    <row r="23" ht="41.25" customHeight="1"/>
    <row r="24" ht="38.25" customHeight="1"/>
    <row r="25" ht="36.75" customHeight="1"/>
    <row r="26" ht="33.75" customHeight="1"/>
  </sheetData>
  <sheetProtection password="CF68" sheet="1"/>
  <mergeCells count="1">
    <mergeCell ref="A2:I2"/>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sheetPr codeName="Sheet6">
    <tabColor indexed="13"/>
    <pageSetUpPr fitToPage="1"/>
  </sheetPr>
  <dimension ref="A2:M27"/>
  <sheetViews>
    <sheetView showGridLines="0" showRowColHeaders="0" zoomScale="86" zoomScaleNormal="86" zoomScalePageLayoutView="0" workbookViewId="0" topLeftCell="A1">
      <selection activeCell="G20" sqref="G20"/>
    </sheetView>
  </sheetViews>
  <sheetFormatPr defaultColWidth="9.140625" defaultRowHeight="12.75"/>
  <cols>
    <col min="1" max="1" width="24.57421875" style="0" customWidth="1"/>
    <col min="2" max="2" width="14.421875" style="0" customWidth="1"/>
    <col min="3" max="3" width="14.140625" style="0" customWidth="1"/>
    <col min="4" max="4" width="13.8515625" style="0" customWidth="1"/>
    <col min="5" max="5" width="14.8515625" style="0" customWidth="1"/>
    <col min="6" max="6" width="14.00390625" style="0" customWidth="1"/>
    <col min="7" max="7" width="14.57421875" style="0" customWidth="1"/>
    <col min="8" max="8" width="16.421875" style="0" customWidth="1"/>
    <col min="9" max="9" width="17.7109375" style="0" customWidth="1"/>
    <col min="10" max="10" width="16.140625" style="0" customWidth="1"/>
    <col min="11" max="11" width="30.8515625" style="0" customWidth="1"/>
    <col min="12" max="12" width="15.00390625" style="0" customWidth="1"/>
    <col min="13" max="13" width="18.140625" style="0" customWidth="1"/>
    <col min="14" max="14" width="21.28125" style="0" customWidth="1"/>
  </cols>
  <sheetData>
    <row r="1" ht="23.25" customHeight="1"/>
    <row r="2" spans="1:10" ht="33.75">
      <c r="A2" s="190" t="s">
        <v>199</v>
      </c>
      <c r="B2" s="156"/>
      <c r="C2" s="156"/>
      <c r="D2" s="156"/>
      <c r="E2" s="156"/>
      <c r="F2" s="156"/>
      <c r="G2" s="156"/>
      <c r="H2" s="152"/>
      <c r="I2" s="152"/>
      <c r="J2" s="152"/>
    </row>
    <row r="3" spans="1:7" ht="18" customHeight="1" thickBot="1">
      <c r="A3" s="30"/>
      <c r="B3" s="30"/>
      <c r="C3" s="30"/>
      <c r="D3" s="30"/>
      <c r="E3" s="30"/>
      <c r="F3" s="30"/>
      <c r="G3" s="30"/>
    </row>
    <row r="4" spans="1:13" ht="112.5" customHeight="1" thickBot="1">
      <c r="A4" s="3" t="s">
        <v>336</v>
      </c>
      <c r="B4" s="5" t="s">
        <v>339</v>
      </c>
      <c r="C4" s="108" t="s">
        <v>194</v>
      </c>
      <c r="D4" s="108" t="s">
        <v>341</v>
      </c>
      <c r="E4" s="5" t="s">
        <v>200</v>
      </c>
      <c r="F4" s="5" t="s">
        <v>340</v>
      </c>
      <c r="G4" s="5" t="s">
        <v>238</v>
      </c>
      <c r="H4" s="3" t="s">
        <v>203</v>
      </c>
      <c r="I4" s="3" t="s">
        <v>289</v>
      </c>
      <c r="J4" s="31" t="s">
        <v>318</v>
      </c>
      <c r="K4" s="128" t="s">
        <v>15</v>
      </c>
      <c r="M4">
        <f>(F15*1000000*G15/E12)*(E5/G5)</f>
        <v>82.41851851851851</v>
      </c>
    </row>
    <row r="5" spans="1:11" ht="30.75" customHeight="1" thickBot="1">
      <c r="A5" s="1" t="s">
        <v>176</v>
      </c>
      <c r="B5" s="86">
        <v>0.119</v>
      </c>
      <c r="C5" s="41">
        <f>C12*B5</f>
        <v>1666000</v>
      </c>
      <c r="D5" s="41">
        <f>(D12/C12)*C5</f>
        <v>634270</v>
      </c>
      <c r="E5" s="41">
        <f>C5-D5</f>
        <v>1031730</v>
      </c>
      <c r="F5" s="41">
        <v>33000</v>
      </c>
      <c r="G5" s="41">
        <v>10800000</v>
      </c>
      <c r="H5" s="44">
        <v>3240</v>
      </c>
      <c r="I5" s="44"/>
      <c r="J5" s="44">
        <v>3500</v>
      </c>
      <c r="K5" s="216" t="s">
        <v>342</v>
      </c>
    </row>
    <row r="6" spans="1:11" ht="29.25" customHeight="1" thickBot="1">
      <c r="A6" s="1" t="s">
        <v>177</v>
      </c>
      <c r="B6" s="86">
        <v>0.055</v>
      </c>
      <c r="C6" s="41">
        <f>C12*B6</f>
        <v>770000</v>
      </c>
      <c r="D6" s="41">
        <f>(D12/C12)*C6</f>
        <v>293150</v>
      </c>
      <c r="E6" s="41">
        <f>C6-D6</f>
        <v>476850</v>
      </c>
      <c r="F6" s="41">
        <v>7400</v>
      </c>
      <c r="G6" s="41">
        <v>8140000</v>
      </c>
      <c r="H6" s="44">
        <v>3240</v>
      </c>
      <c r="I6" s="44">
        <v>10650</v>
      </c>
      <c r="J6" s="44">
        <v>6120</v>
      </c>
      <c r="K6" s="217"/>
    </row>
    <row r="7" spans="1:11" ht="54.75" customHeight="1" thickBot="1">
      <c r="A7" s="1" t="s">
        <v>338</v>
      </c>
      <c r="B7" s="86">
        <v>0.0861</v>
      </c>
      <c r="C7" s="41">
        <f>C12*B7</f>
        <v>1205400</v>
      </c>
      <c r="D7" s="41">
        <f>(D12/C12)*C7</f>
        <v>458913</v>
      </c>
      <c r="E7" s="41">
        <f>C7-D7</f>
        <v>746487</v>
      </c>
      <c r="F7" s="41">
        <v>30000</v>
      </c>
      <c r="G7" s="41">
        <v>9000000</v>
      </c>
      <c r="H7" s="44">
        <v>5700</v>
      </c>
      <c r="I7" s="44"/>
      <c r="J7" s="44">
        <v>3000</v>
      </c>
      <c r="K7" s="217"/>
    </row>
    <row r="8" spans="1:11" ht="40.5" customHeight="1" thickBot="1">
      <c r="A8" s="3" t="s">
        <v>198</v>
      </c>
      <c r="B8" s="87">
        <v>0.078</v>
      </c>
      <c r="C8" s="42">
        <f>C12*B8</f>
        <v>1092000</v>
      </c>
      <c r="D8" s="42">
        <f>(D12/C12)*C8</f>
        <v>415740</v>
      </c>
      <c r="E8" s="42">
        <v>433000</v>
      </c>
      <c r="F8" s="42">
        <v>3500</v>
      </c>
      <c r="G8" s="42">
        <v>6500000</v>
      </c>
      <c r="H8" s="44">
        <v>3200</v>
      </c>
      <c r="I8" s="44"/>
      <c r="J8" s="44">
        <v>16000</v>
      </c>
      <c r="K8" s="217"/>
    </row>
    <row r="9" spans="1:11" ht="30" customHeight="1" thickBot="1">
      <c r="A9" s="1" t="s">
        <v>180</v>
      </c>
      <c r="B9" s="86">
        <v>0.028</v>
      </c>
      <c r="C9" s="41">
        <f>C12*B9</f>
        <v>392000</v>
      </c>
      <c r="D9" s="41">
        <f>(D12/C12)*C9</f>
        <v>149240</v>
      </c>
      <c r="E9" s="41">
        <v>64000</v>
      </c>
      <c r="F9" s="41">
        <v>3000</v>
      </c>
      <c r="G9" s="41">
        <v>3400000</v>
      </c>
      <c r="H9" s="44">
        <v>1700</v>
      </c>
      <c r="I9" s="44">
        <v>16600</v>
      </c>
      <c r="J9" s="44">
        <v>1700</v>
      </c>
      <c r="K9" s="217"/>
    </row>
    <row r="10" spans="1:11" ht="31.5" customHeight="1" thickBot="1">
      <c r="A10" s="1" t="s">
        <v>181</v>
      </c>
      <c r="B10" s="86">
        <v>0.006</v>
      </c>
      <c r="C10" s="41">
        <f>C12*B10</f>
        <v>84000</v>
      </c>
      <c r="D10" s="41">
        <f>(D12/C12)*C10</f>
        <v>31980</v>
      </c>
      <c r="E10" s="41">
        <v>38000</v>
      </c>
      <c r="F10" s="41">
        <v>500</v>
      </c>
      <c r="G10" s="41">
        <v>2000000</v>
      </c>
      <c r="H10" s="44">
        <v>600</v>
      </c>
      <c r="I10" s="44"/>
      <c r="J10" s="44"/>
      <c r="K10" s="217"/>
    </row>
    <row r="11" spans="1:11" ht="33" customHeight="1" thickBot="1">
      <c r="A11" s="1" t="s">
        <v>196</v>
      </c>
      <c r="B11" s="86">
        <f>SUM(B5:B10)</f>
        <v>0.37210000000000004</v>
      </c>
      <c r="C11" s="41">
        <f>SUM(C5:C10)</f>
        <v>5209400</v>
      </c>
      <c r="D11" s="41">
        <f>SUM(D5:D10)</f>
        <v>1983293</v>
      </c>
      <c r="E11" s="41">
        <f>SUM(E5:E10)</f>
        <v>2790067</v>
      </c>
      <c r="F11" s="41">
        <f>SUM(F5:F10)</f>
        <v>77400</v>
      </c>
      <c r="G11" s="135"/>
      <c r="H11" s="44">
        <f>SUM(H5:H10)</f>
        <v>17680</v>
      </c>
      <c r="I11" s="44">
        <f>SUM(I5:I10)</f>
        <v>27250</v>
      </c>
      <c r="J11" s="44">
        <f>SUM(J5:J10)</f>
        <v>30320</v>
      </c>
      <c r="K11" s="217"/>
    </row>
    <row r="12" spans="1:11" ht="37.5" customHeight="1" thickBot="1">
      <c r="A12" s="1" t="s">
        <v>197</v>
      </c>
      <c r="B12" s="94">
        <v>1</v>
      </c>
      <c r="C12" s="41">
        <v>14000000</v>
      </c>
      <c r="D12" s="41">
        <v>5330000</v>
      </c>
      <c r="E12" s="41">
        <f>C12-D12</f>
        <v>8670000</v>
      </c>
      <c r="F12" s="41">
        <v>128000</v>
      </c>
      <c r="G12" s="41">
        <v>54000000</v>
      </c>
      <c r="H12" s="45">
        <v>102300</v>
      </c>
      <c r="I12" s="45">
        <v>113000</v>
      </c>
      <c r="J12" s="45">
        <v>109000</v>
      </c>
      <c r="K12" s="218"/>
    </row>
    <row r="13" ht="13.5" thickBot="1"/>
    <row r="14" spans="1:11" ht="117" customHeight="1">
      <c r="A14" s="112" t="s">
        <v>292</v>
      </c>
      <c r="B14" s="127" t="s">
        <v>298</v>
      </c>
      <c r="C14" s="127" t="s">
        <v>297</v>
      </c>
      <c r="D14" s="127" t="s">
        <v>303</v>
      </c>
      <c r="E14" s="127" t="s">
        <v>296</v>
      </c>
      <c r="F14" s="127" t="s">
        <v>293</v>
      </c>
      <c r="G14" s="127" t="s">
        <v>295</v>
      </c>
      <c r="H14" s="128" t="s">
        <v>294</v>
      </c>
      <c r="I14" s="129" t="s">
        <v>299</v>
      </c>
      <c r="J14" s="130" t="s">
        <v>337</v>
      </c>
      <c r="K14" s="128" t="s">
        <v>329</v>
      </c>
    </row>
    <row r="15" spans="1:11" ht="43.5" customHeight="1" thickBot="1">
      <c r="A15" s="128" t="s">
        <v>300</v>
      </c>
      <c r="B15" s="109">
        <f>290*'Look Up Tables'!H6</f>
        <v>304.5</v>
      </c>
      <c r="C15" s="110">
        <v>0.125</v>
      </c>
      <c r="D15" s="109">
        <f>2200*'Look Up Tables'!H6</f>
        <v>2310</v>
      </c>
      <c r="E15" s="110">
        <v>0.25</v>
      </c>
      <c r="F15" s="109">
        <f>8800*'Look Up Tables'!H6/1.05</f>
        <v>8800</v>
      </c>
      <c r="G15" s="110">
        <v>0.85</v>
      </c>
      <c r="H15" s="109">
        <f>1100*'Look Up Tables'!H6/1.05</f>
        <v>1100</v>
      </c>
      <c r="I15" s="111">
        <v>0.85</v>
      </c>
      <c r="J15" s="131">
        <v>16600</v>
      </c>
      <c r="K15" s="132">
        <v>0.85</v>
      </c>
    </row>
    <row r="16" spans="1:11" ht="180.75" customHeight="1" thickBot="1">
      <c r="A16" s="3" t="s">
        <v>335</v>
      </c>
      <c r="B16" s="8" t="s">
        <v>194</v>
      </c>
      <c r="C16" s="8" t="s">
        <v>201</v>
      </c>
      <c r="D16" s="8" t="s">
        <v>195</v>
      </c>
      <c r="E16" s="8" t="s">
        <v>202</v>
      </c>
      <c r="F16" s="1" t="s">
        <v>331</v>
      </c>
      <c r="G16" s="136" t="s">
        <v>332</v>
      </c>
      <c r="H16" s="140" t="s">
        <v>346</v>
      </c>
      <c r="I16" s="139" t="s">
        <v>347</v>
      </c>
      <c r="J16" s="139" t="s">
        <v>348</v>
      </c>
      <c r="K16" s="139" t="s">
        <v>344</v>
      </c>
    </row>
    <row r="17" spans="1:11" ht="40.5" customHeight="1" thickBot="1">
      <c r="A17" s="1" t="s">
        <v>176</v>
      </c>
      <c r="B17" s="34">
        <f aca="true" t="shared" si="0" ref="B17:B22">C5/G5</f>
        <v>0.15425925925925926</v>
      </c>
      <c r="C17" s="34">
        <f aca="true" t="shared" si="1" ref="C17:C22">D5/G5</f>
        <v>0.05872870370370371</v>
      </c>
      <c r="D17" s="34">
        <f aca="true" t="shared" si="2" ref="D17:D22">E5/G5</f>
        <v>0.09553055555555555</v>
      </c>
      <c r="E17" s="34">
        <f aca="true" t="shared" si="3" ref="E17:E22">F5/G5</f>
        <v>0.0030555555555555557</v>
      </c>
      <c r="F17" s="46">
        <f>'Look Up Tables'!F6*(H5*1000000/G5)</f>
        <v>372</v>
      </c>
      <c r="G17" s="46">
        <f aca="true" t="shared" si="4" ref="G17:G22">F17/B17</f>
        <v>2411.5246098439375</v>
      </c>
      <c r="H17" s="138">
        <f>(F15*1000000*G15/E12)*(E5/G5)</f>
        <v>82.41851851851851</v>
      </c>
      <c r="I17" s="137">
        <f>(1000000*B15*C15/E5)+(1000000*D15*E15/G5)</f>
        <v>90.36414161973902</v>
      </c>
      <c r="J17" s="137">
        <f>'Look Up Tables'!J6*J5*1000000/G5</f>
        <v>379.16666666666663</v>
      </c>
      <c r="K17" s="137">
        <f aca="true" t="shared" si="5" ref="K17:K22">F17+H17+I17+J17</f>
        <v>923.9493268049241</v>
      </c>
    </row>
    <row r="18" spans="1:11" ht="32.25" customHeight="1" thickBot="1">
      <c r="A18" s="1" t="s">
        <v>177</v>
      </c>
      <c r="B18" s="34">
        <f t="shared" si="0"/>
        <v>0.0945945945945946</v>
      </c>
      <c r="C18" s="34">
        <f t="shared" si="1"/>
        <v>0.03601351351351351</v>
      </c>
      <c r="D18" s="34">
        <f t="shared" si="2"/>
        <v>0.05858108108108108</v>
      </c>
      <c r="E18" s="34">
        <f t="shared" si="3"/>
        <v>0.0009090909090909091</v>
      </c>
      <c r="F18" s="46">
        <f>'Look Up Tables'!F6*(H6*1000000/G6)</f>
        <v>493.5626535626535</v>
      </c>
      <c r="G18" s="46">
        <f t="shared" si="4"/>
        <v>5217.6623376623365</v>
      </c>
      <c r="H18" s="46">
        <f>(F15*1000000*G15/E12)*(E6/G6)</f>
        <v>50.54054054054054</v>
      </c>
      <c r="I18" s="133">
        <f>K15*1000000*I6/G6</f>
        <v>1112.1007371007372</v>
      </c>
      <c r="J18" s="133">
        <f>'Look Up Tables'!J6*J6*1000000/G6</f>
        <v>879.6560196560197</v>
      </c>
      <c r="K18" s="133">
        <f t="shared" si="5"/>
        <v>2535.859950859951</v>
      </c>
    </row>
    <row r="19" spans="1:11" ht="37.5" customHeight="1" thickBot="1">
      <c r="A19" s="1" t="s">
        <v>178</v>
      </c>
      <c r="B19" s="34">
        <f t="shared" si="0"/>
        <v>0.13393333333333332</v>
      </c>
      <c r="C19" s="34">
        <f t="shared" si="1"/>
        <v>0.05099033333333333</v>
      </c>
      <c r="D19" s="34">
        <f t="shared" si="2"/>
        <v>0.082943</v>
      </c>
      <c r="E19" s="34">
        <f t="shared" si="3"/>
        <v>0.0033333333333333335</v>
      </c>
      <c r="F19" s="46">
        <f>'Look Up Tables'!F6*(H7*1000000/G7)</f>
        <v>785.3333333333334</v>
      </c>
      <c r="G19" s="46">
        <f t="shared" si="4"/>
        <v>5863.613738178199</v>
      </c>
      <c r="H19" s="46">
        <f>(F15*1000000*G15/E12)*(E7/G7)</f>
        <v>71.55866666666667</v>
      </c>
      <c r="I19" s="133"/>
      <c r="J19" s="133">
        <f>'Look Up Tables'!J6*J7*1000000/G7</f>
        <v>390</v>
      </c>
      <c r="K19" s="133">
        <f t="shared" si="5"/>
        <v>1246.892</v>
      </c>
    </row>
    <row r="20" spans="1:11" ht="45" customHeight="1" thickBot="1">
      <c r="A20" s="3" t="s">
        <v>179</v>
      </c>
      <c r="B20" s="35">
        <f t="shared" si="0"/>
        <v>0.168</v>
      </c>
      <c r="C20" s="35">
        <f t="shared" si="1"/>
        <v>0.06396</v>
      </c>
      <c r="D20" s="35">
        <f t="shared" si="2"/>
        <v>0.06661538461538462</v>
      </c>
      <c r="E20" s="35">
        <f t="shared" si="3"/>
        <v>0.0005384615384615384</v>
      </c>
      <c r="F20" s="46">
        <f>'Look Up Tables'!F6*(H8*1000000/G8)</f>
        <v>610.4615384615385</v>
      </c>
      <c r="G20" s="46">
        <f t="shared" si="4"/>
        <v>3633.6996336996335</v>
      </c>
      <c r="H20" s="46">
        <f>(F15*1000000*G15/E12)*(E8/G8)</f>
        <v>57.47209653092006</v>
      </c>
      <c r="I20" s="133"/>
      <c r="J20" s="133">
        <f>'Look Up Tables'!J6*J8*1000000/G8</f>
        <v>2880</v>
      </c>
      <c r="K20" s="133">
        <f t="shared" si="5"/>
        <v>3547.933634992459</v>
      </c>
    </row>
    <row r="21" spans="1:11" ht="39" customHeight="1" thickBot="1">
      <c r="A21" s="1" t="s">
        <v>180</v>
      </c>
      <c r="B21" s="34">
        <f t="shared" si="0"/>
        <v>0.11529411764705882</v>
      </c>
      <c r="C21" s="34">
        <f t="shared" si="1"/>
        <v>0.043894117647058827</v>
      </c>
      <c r="D21" s="34">
        <f t="shared" si="2"/>
        <v>0.018823529411764704</v>
      </c>
      <c r="E21" s="34">
        <f t="shared" si="3"/>
        <v>0.0008823529411764706</v>
      </c>
      <c r="F21" s="46">
        <f>'Look Up Tables'!F6*(H9*1000000/G9)</f>
        <v>620</v>
      </c>
      <c r="G21" s="46">
        <f t="shared" si="4"/>
        <v>5377.551020408163</v>
      </c>
      <c r="H21" s="46">
        <f>(F15*1000000*G15/E12)*(E9/G9)</f>
        <v>16.239907727797</v>
      </c>
      <c r="I21" s="133">
        <f>K15*1000000*J15/G9</f>
        <v>4150</v>
      </c>
      <c r="J21" s="133">
        <f>'Look Up Tables'!J6*J9*1000000/G9</f>
        <v>584.9999999999999</v>
      </c>
      <c r="K21" s="133">
        <f t="shared" si="5"/>
        <v>5371.239907727797</v>
      </c>
    </row>
    <row r="22" spans="1:11" ht="54" customHeight="1" thickBot="1">
      <c r="A22" s="1" t="s">
        <v>181</v>
      </c>
      <c r="B22" s="34">
        <f t="shared" si="0"/>
        <v>0.042</v>
      </c>
      <c r="C22" s="34">
        <f t="shared" si="1"/>
        <v>0.01599</v>
      </c>
      <c r="D22" s="34">
        <f t="shared" si="2"/>
        <v>0.019</v>
      </c>
      <c r="E22" s="34">
        <f t="shared" si="3"/>
        <v>0.00025</v>
      </c>
      <c r="F22" s="46">
        <f>'Look Up Tables'!F6*(H10*1000000/G10)</f>
        <v>372</v>
      </c>
      <c r="G22" s="46">
        <f t="shared" si="4"/>
        <v>8857.142857142857</v>
      </c>
      <c r="H22" s="46">
        <f>(F15*1000000*G15/E12)*(E10/G10)</f>
        <v>16.392156862745097</v>
      </c>
      <c r="I22" s="133"/>
      <c r="J22" s="133">
        <f>'Look Up Tables'!J6*J10*1000000/G10</f>
        <v>0</v>
      </c>
      <c r="K22" s="133">
        <f t="shared" si="5"/>
        <v>388.3921568627451</v>
      </c>
    </row>
    <row r="25" ht="13.5" thickBot="1"/>
    <row r="26" spans="1:3" ht="90.75" customHeight="1" thickBot="1">
      <c r="A26" s="3" t="s">
        <v>204</v>
      </c>
      <c r="B26" s="47">
        <f>65000*'Look Up Tables'!J6</f>
        <v>76050</v>
      </c>
      <c r="C26" s="48"/>
    </row>
    <row r="27" spans="1:2" ht="74.25" customHeight="1" thickBot="1">
      <c r="A27" s="3" t="s">
        <v>240</v>
      </c>
      <c r="B27" s="47">
        <v>325</v>
      </c>
    </row>
  </sheetData>
  <sheetProtection password="CF68" sheet="1"/>
  <mergeCells count="2">
    <mergeCell ref="A2:J2"/>
    <mergeCell ref="K5:K12"/>
  </mergeCells>
  <printOptions/>
  <pageMargins left="0.75" right="0.75" top="1" bottom="1" header="0.5" footer="0.5"/>
  <pageSetup fitToHeight="1" fitToWidth="1" horizontalDpi="600" verticalDpi="600" orientation="portrait" paperSize="9" scale="54" r:id="rId1"/>
</worksheet>
</file>

<file path=xl/worksheets/sheet8.xml><?xml version="1.0" encoding="utf-8"?>
<worksheet xmlns="http://schemas.openxmlformats.org/spreadsheetml/2006/main" xmlns:r="http://schemas.openxmlformats.org/officeDocument/2006/relationships">
  <sheetPr codeName="Sheet7">
    <tabColor indexed="49"/>
  </sheetPr>
  <dimension ref="A2:P87"/>
  <sheetViews>
    <sheetView showGridLines="0" showRowColHeaders="0" zoomScalePageLayoutView="0" workbookViewId="0" topLeftCell="A1">
      <selection activeCell="J6" sqref="J6"/>
    </sheetView>
  </sheetViews>
  <sheetFormatPr defaultColWidth="9.140625" defaultRowHeight="12.75"/>
  <cols>
    <col min="1" max="1" width="7.00390625" style="0" customWidth="1"/>
    <col min="2" max="2" width="11.8515625" style="0" customWidth="1"/>
    <col min="3" max="3" width="12.140625" style="0" customWidth="1"/>
    <col min="4" max="4" width="12.8515625" style="0" customWidth="1"/>
    <col min="5" max="5" width="10.7109375" style="0" customWidth="1"/>
    <col min="6" max="6" width="12.57421875" style="0" customWidth="1"/>
    <col min="7" max="7" width="19.28125" style="0" customWidth="1"/>
    <col min="8" max="9" width="16.421875" style="0" customWidth="1"/>
    <col min="10" max="10" width="16.7109375" style="0" customWidth="1"/>
    <col min="11" max="11" width="21.140625" style="0" customWidth="1"/>
  </cols>
  <sheetData>
    <row r="2" spans="1:11" ht="33.75">
      <c r="A2" s="219" t="s">
        <v>193</v>
      </c>
      <c r="B2" s="152"/>
      <c r="C2" s="152"/>
      <c r="D2" s="152"/>
      <c r="E2" s="152"/>
      <c r="F2" s="152"/>
      <c r="G2" s="152"/>
      <c r="H2" s="152"/>
      <c r="I2" s="152"/>
      <c r="J2" s="152"/>
      <c r="K2" s="152"/>
    </row>
    <row r="3" ht="30.75" customHeight="1"/>
    <row r="4" ht="12.75" hidden="1"/>
    <row r="5" spans="1:16" ht="145.5" customHeight="1">
      <c r="A5" s="134" t="s">
        <v>333</v>
      </c>
      <c r="B5" s="134" t="s">
        <v>271</v>
      </c>
      <c r="C5" s="134" t="s">
        <v>272</v>
      </c>
      <c r="D5" s="134" t="s">
        <v>273</v>
      </c>
      <c r="E5" s="134" t="s">
        <v>291</v>
      </c>
      <c r="F5" s="134" t="s">
        <v>334</v>
      </c>
      <c r="G5" s="134" t="s">
        <v>15</v>
      </c>
      <c r="H5" s="134" t="s">
        <v>301</v>
      </c>
      <c r="I5" s="134" t="s">
        <v>15</v>
      </c>
      <c r="J5" s="134" t="s">
        <v>357</v>
      </c>
      <c r="K5" s="134" t="s">
        <v>15</v>
      </c>
      <c r="M5" s="107"/>
      <c r="N5" s="107"/>
      <c r="O5" s="107"/>
      <c r="P5" s="107"/>
    </row>
    <row r="6" spans="1:11" ht="17.25" customHeight="1">
      <c r="A6" s="116">
        <v>0</v>
      </c>
      <c r="B6" s="117">
        <f>1/POWER(1+D6,A6)</f>
        <v>1</v>
      </c>
      <c r="C6" s="117">
        <v>1</v>
      </c>
      <c r="D6" s="113">
        <f>'Results '!B26</f>
        <v>0.035</v>
      </c>
      <c r="E6" s="116" t="s">
        <v>274</v>
      </c>
      <c r="F6" s="116">
        <f>1.24*(1+G15)</f>
        <v>1.24</v>
      </c>
      <c r="G6" s="220" t="s">
        <v>290</v>
      </c>
      <c r="H6" s="116">
        <v>1.05</v>
      </c>
      <c r="I6" s="220" t="s">
        <v>307</v>
      </c>
      <c r="J6" s="116">
        <f>1.17*(1+K15)</f>
        <v>1.17</v>
      </c>
      <c r="K6" s="220" t="s">
        <v>306</v>
      </c>
    </row>
    <row r="7" spans="1:11" ht="12.75">
      <c r="A7" s="116">
        <v>1</v>
      </c>
      <c r="B7" s="117">
        <f>1/POWER(1+D6,A7)</f>
        <v>0.9661835748792271</v>
      </c>
      <c r="C7" s="118">
        <f>C6+B7</f>
        <v>1.9661835748792271</v>
      </c>
      <c r="D7" s="120"/>
      <c r="E7" s="119" t="s">
        <v>275</v>
      </c>
      <c r="F7" s="120"/>
      <c r="G7" s="221"/>
      <c r="H7" s="120"/>
      <c r="I7" s="221"/>
      <c r="J7" s="120"/>
      <c r="K7" s="221"/>
    </row>
    <row r="8" spans="1:11" ht="12.75">
      <c r="A8" s="116">
        <v>2</v>
      </c>
      <c r="B8" s="117">
        <f>1/POWER(1+D6,A8)</f>
        <v>0.933510700366403</v>
      </c>
      <c r="C8" s="118">
        <f aca="true" t="shared" si="0" ref="C8:C71">C7+B8</f>
        <v>2.89969427524563</v>
      </c>
      <c r="D8" s="120"/>
      <c r="E8" s="119" t="s">
        <v>276</v>
      </c>
      <c r="F8" s="120"/>
      <c r="G8" s="221"/>
      <c r="H8" s="120"/>
      <c r="I8" s="221"/>
      <c r="J8" s="120"/>
      <c r="K8" s="221"/>
    </row>
    <row r="9" spans="1:11" ht="12.75">
      <c r="A9" s="116">
        <v>3</v>
      </c>
      <c r="B9" s="117">
        <f>1/POWER(1+D6,A9)</f>
        <v>0.9019427056680224</v>
      </c>
      <c r="C9" s="118">
        <f t="shared" si="0"/>
        <v>3.8016369809136523</v>
      </c>
      <c r="D9" s="120"/>
      <c r="E9" s="119" t="s">
        <v>277</v>
      </c>
      <c r="F9" s="120"/>
      <c r="G9" s="221"/>
      <c r="H9" s="120"/>
      <c r="I9" s="221"/>
      <c r="J9" s="120"/>
      <c r="K9" s="221"/>
    </row>
    <row r="10" spans="1:11" ht="12.75">
      <c r="A10" s="116">
        <v>4</v>
      </c>
      <c r="B10" s="117">
        <f>1/POWER(1+D6,A10)</f>
        <v>0.8714422276985724</v>
      </c>
      <c r="C10" s="118">
        <f t="shared" si="0"/>
        <v>4.673079208612225</v>
      </c>
      <c r="D10" s="120"/>
      <c r="E10" s="119" t="s">
        <v>278</v>
      </c>
      <c r="F10" s="120"/>
      <c r="G10" s="221"/>
      <c r="H10" s="120"/>
      <c r="I10" s="221"/>
      <c r="J10" s="120"/>
      <c r="K10" s="221"/>
    </row>
    <row r="11" spans="1:11" ht="12.75">
      <c r="A11" s="116">
        <v>5</v>
      </c>
      <c r="B11" s="117">
        <f>1/POWER(1+D6,A11)</f>
        <v>0.8419731668585242</v>
      </c>
      <c r="C11" s="118">
        <f t="shared" si="0"/>
        <v>5.515052375470749</v>
      </c>
      <c r="D11" s="120"/>
      <c r="E11" s="119" t="s">
        <v>279</v>
      </c>
      <c r="F11" s="120"/>
      <c r="G11" s="221"/>
      <c r="H11" s="120"/>
      <c r="I11" s="221"/>
      <c r="J11" s="120"/>
      <c r="K11" s="221"/>
    </row>
    <row r="12" spans="1:11" ht="12.75">
      <c r="A12" s="116">
        <v>6</v>
      </c>
      <c r="B12" s="117">
        <f>1/POWER(1+D6,A12)</f>
        <v>0.8135006443077528</v>
      </c>
      <c r="C12" s="118">
        <f t="shared" si="0"/>
        <v>6.328553019778502</v>
      </c>
      <c r="D12" s="120"/>
      <c r="E12" s="119" t="s">
        <v>280</v>
      </c>
      <c r="F12" s="120"/>
      <c r="G12" s="221"/>
      <c r="H12" s="120"/>
      <c r="I12" s="221"/>
      <c r="J12" s="120"/>
      <c r="K12" s="221"/>
    </row>
    <row r="13" spans="1:11" ht="12.75">
      <c r="A13" s="116">
        <v>7</v>
      </c>
      <c r="B13" s="117">
        <f>1/POWER(1+D6,A13)</f>
        <v>0.7859909606838191</v>
      </c>
      <c r="C13" s="118">
        <f t="shared" si="0"/>
        <v>7.1145439804623205</v>
      </c>
      <c r="D13" s="120"/>
      <c r="E13" s="119" t="s">
        <v>281</v>
      </c>
      <c r="F13" s="120"/>
      <c r="G13" s="221"/>
      <c r="H13" s="120"/>
      <c r="I13" s="221"/>
      <c r="J13" s="120"/>
      <c r="K13" s="221"/>
    </row>
    <row r="14" spans="1:11" ht="12.75">
      <c r="A14" s="116">
        <v>8</v>
      </c>
      <c r="B14" s="117">
        <f>1/POWER(1+D6,A14)</f>
        <v>0.7594115562162506</v>
      </c>
      <c r="C14" s="118">
        <f t="shared" si="0"/>
        <v>7.873955536678571</v>
      </c>
      <c r="D14" s="120"/>
      <c r="E14" s="119"/>
      <c r="F14" s="120"/>
      <c r="G14" s="221"/>
      <c r="H14" s="120"/>
      <c r="I14" s="221"/>
      <c r="J14" s="121"/>
      <c r="K14" s="221"/>
    </row>
    <row r="15" spans="1:11" ht="12.75">
      <c r="A15" s="116">
        <v>9</v>
      </c>
      <c r="B15" s="117">
        <f>1/POWER(1+D6,A15)</f>
        <v>0.7337309721896141</v>
      </c>
      <c r="C15" s="117">
        <f t="shared" si="0"/>
        <v>8.607686508868186</v>
      </c>
      <c r="G15" s="114">
        <v>0</v>
      </c>
      <c r="H15" s="120"/>
      <c r="I15" s="114">
        <v>0</v>
      </c>
      <c r="J15" s="120"/>
      <c r="K15" s="115">
        <v>0</v>
      </c>
    </row>
    <row r="16" spans="1:9" ht="12.75">
      <c r="A16" s="116">
        <v>10</v>
      </c>
      <c r="B16" s="117">
        <f>1/POWER(1+D6,A16)</f>
        <v>0.7089188137097722</v>
      </c>
      <c r="C16" s="117">
        <f t="shared" si="0"/>
        <v>9.316605322577958</v>
      </c>
      <c r="G16" s="107"/>
      <c r="I16" s="107"/>
    </row>
    <row r="17" spans="1:9" ht="12.75">
      <c r="A17" s="116">
        <v>11</v>
      </c>
      <c r="B17" s="117">
        <f>1/POWER(1+D6,A17)</f>
        <v>0.6849457137292485</v>
      </c>
      <c r="C17" s="117">
        <f t="shared" si="0"/>
        <v>10.001551036307207</v>
      </c>
      <c r="G17" s="107"/>
      <c r="I17" s="14"/>
    </row>
    <row r="18" spans="1:7" ht="12.75">
      <c r="A18" s="116">
        <v>12</v>
      </c>
      <c r="B18" s="117">
        <f>1/POWER(1+D6,A18)</f>
        <v>0.661783298289129</v>
      </c>
      <c r="C18" s="117">
        <f t="shared" si="0"/>
        <v>10.663334334596335</v>
      </c>
      <c r="G18" s="107"/>
    </row>
    <row r="19" spans="1:7" ht="12.75">
      <c r="A19" s="116">
        <v>13</v>
      </c>
      <c r="B19" s="117">
        <f>1/POWER(1+D6,A19)</f>
        <v>0.6394041529363567</v>
      </c>
      <c r="C19" s="117">
        <f t="shared" si="0"/>
        <v>11.302738487532691</v>
      </c>
      <c r="G19" s="107"/>
    </row>
    <row r="20" spans="1:7" ht="12.75">
      <c r="A20" s="116">
        <v>14</v>
      </c>
      <c r="B20" s="117">
        <f>1/POWER(1+D6,A20)</f>
        <v>0.617781790276673</v>
      </c>
      <c r="C20" s="117">
        <f t="shared" si="0"/>
        <v>11.920520277809365</v>
      </c>
      <c r="G20" s="107"/>
    </row>
    <row r="21" spans="1:7" ht="12.75">
      <c r="A21" s="116">
        <v>15</v>
      </c>
      <c r="B21" s="117">
        <f>1/POWER(1+D6,A21)</f>
        <v>0.596890618624805</v>
      </c>
      <c r="C21" s="117">
        <f t="shared" si="0"/>
        <v>12.51741089643417</v>
      </c>
      <c r="G21" s="107"/>
    </row>
    <row r="22" spans="1:3" ht="12.75">
      <c r="A22" s="116">
        <v>16</v>
      </c>
      <c r="B22" s="117">
        <f>1/POWER(1+D6,A22)</f>
        <v>0.5767059117147875</v>
      </c>
      <c r="C22" s="117">
        <f t="shared" si="0"/>
        <v>13.094116808148957</v>
      </c>
    </row>
    <row r="23" spans="1:3" ht="12.75">
      <c r="A23" s="116">
        <v>17</v>
      </c>
      <c r="B23" s="117">
        <f>1/POWER(1+D6,A23)</f>
        <v>0.5572037794345773</v>
      </c>
      <c r="C23" s="117">
        <f t="shared" si="0"/>
        <v>13.651320587583534</v>
      </c>
    </row>
    <row r="24" spans="1:3" ht="12.75">
      <c r="A24" s="116">
        <v>18</v>
      </c>
      <c r="B24" s="117">
        <f>1/POWER(1+D6,A24)</f>
        <v>0.5383611395503163</v>
      </c>
      <c r="C24" s="117">
        <f t="shared" si="0"/>
        <v>14.18968172713385</v>
      </c>
    </row>
    <row r="25" spans="1:3" ht="12.75">
      <c r="A25" s="116">
        <v>19</v>
      </c>
      <c r="B25" s="117">
        <f>1/POWER(1+D6,A25)</f>
        <v>0.5201556903867791</v>
      </c>
      <c r="C25" s="117">
        <f t="shared" si="0"/>
        <v>14.70983741752063</v>
      </c>
    </row>
    <row r="26" spans="1:3" ht="12.75">
      <c r="A26" s="116">
        <v>20</v>
      </c>
      <c r="B26" s="117">
        <f>1/POWER(1+D6,A26)</f>
        <v>0.5025658844316706</v>
      </c>
      <c r="C26" s="117">
        <f t="shared" si="0"/>
        <v>15.2124033019523</v>
      </c>
    </row>
    <row r="27" spans="1:3" ht="12.75">
      <c r="A27" s="116">
        <v>21</v>
      </c>
      <c r="B27" s="117">
        <f>1/POWER(1+D6,A27)</f>
        <v>0.4855709028325321</v>
      </c>
      <c r="C27" s="117">
        <f t="shared" si="0"/>
        <v>15.697974204784831</v>
      </c>
    </row>
    <row r="28" spans="1:3" ht="12.75">
      <c r="A28" s="116">
        <v>22</v>
      </c>
      <c r="B28" s="117">
        <f>1/POWER(1+D6,A28)</f>
        <v>0.46915063075606966</v>
      </c>
      <c r="C28" s="117">
        <f t="shared" si="0"/>
        <v>16.1671248355409</v>
      </c>
    </row>
    <row r="29" spans="1:3" ht="12.75">
      <c r="A29" s="116">
        <v>23</v>
      </c>
      <c r="B29" s="117">
        <f>1/POWER(1+D6,A29)</f>
        <v>0.45328563358074364</v>
      </c>
      <c r="C29" s="117">
        <f t="shared" si="0"/>
        <v>16.620410469121644</v>
      </c>
    </row>
    <row r="30" spans="1:3" ht="12.75">
      <c r="A30" s="116">
        <v>24</v>
      </c>
      <c r="B30" s="117">
        <f>1/POWER(1+D6,A30)</f>
        <v>0.4379571338944384</v>
      </c>
      <c r="C30" s="117">
        <f t="shared" si="0"/>
        <v>17.058367603016084</v>
      </c>
    </row>
    <row r="31" spans="1:3" ht="12.75">
      <c r="A31" s="116">
        <v>25</v>
      </c>
      <c r="B31" s="117">
        <f>1/POWER(1+D6,A31)</f>
        <v>0.42314698926998884</v>
      </c>
      <c r="C31" s="117">
        <f t="shared" si="0"/>
        <v>17.48151459228607</v>
      </c>
    </row>
    <row r="32" spans="1:3" ht="12.75">
      <c r="A32" s="116">
        <v>26</v>
      </c>
      <c r="B32" s="117">
        <f>1/POWER(1+D6,A32)</f>
        <v>0.40883767079225974</v>
      </c>
      <c r="C32" s="117">
        <f t="shared" si="0"/>
        <v>17.89035226307833</v>
      </c>
    </row>
    <row r="33" spans="1:3" ht="12.75">
      <c r="A33" s="116">
        <v>27</v>
      </c>
      <c r="B33" s="117">
        <f>1/POWER(1+D6,A33)</f>
        <v>0.39501224231136206</v>
      </c>
      <c r="C33" s="117">
        <f t="shared" si="0"/>
        <v>18.285364505389694</v>
      </c>
    </row>
    <row r="34" spans="1:3" ht="12.75">
      <c r="A34" s="116">
        <v>28</v>
      </c>
      <c r="B34" s="117">
        <f>1/POWER(1+D6,A34)</f>
        <v>0.3816543403974513</v>
      </c>
      <c r="C34" s="117">
        <f t="shared" si="0"/>
        <v>18.667018845787144</v>
      </c>
    </row>
    <row r="35" spans="1:3" ht="12.75">
      <c r="A35" s="116">
        <v>29</v>
      </c>
      <c r="B35" s="117">
        <f>1/POWER(1+D6,A35)</f>
        <v>0.368748154973383</v>
      </c>
      <c r="C35" s="117">
        <f t="shared" si="0"/>
        <v>19.035767000760526</v>
      </c>
    </row>
    <row r="36" spans="1:3" ht="12.75">
      <c r="A36" s="116">
        <v>30</v>
      </c>
      <c r="B36" s="117">
        <f>1/POWER(1+D6,A36)</f>
        <v>0.35627841060230236</v>
      </c>
      <c r="C36" s="117">
        <f t="shared" si="0"/>
        <v>19.39204541136283</v>
      </c>
    </row>
    <row r="37" spans="1:3" ht="12.75">
      <c r="A37" s="116">
        <v>31</v>
      </c>
      <c r="B37" s="117">
        <f>1/POWER(1+D6,A37)</f>
        <v>0.34423034840802164</v>
      </c>
      <c r="C37" s="117">
        <f t="shared" si="0"/>
        <v>19.73627575977085</v>
      </c>
    </row>
    <row r="38" spans="1:3" ht="12.75">
      <c r="A38" s="116">
        <v>32</v>
      </c>
      <c r="B38" s="117">
        <f>1/POWER(1+D6,A38)</f>
        <v>0.3325897086067843</v>
      </c>
      <c r="C38" s="117">
        <f t="shared" si="0"/>
        <v>20.068865468377634</v>
      </c>
    </row>
    <row r="39" spans="1:3" ht="12.75">
      <c r="A39" s="116">
        <v>33</v>
      </c>
      <c r="B39" s="117">
        <f>1/POWER(1+D6,A39)</f>
        <v>0.32134271362974326</v>
      </c>
      <c r="C39" s="117">
        <f t="shared" si="0"/>
        <v>20.390208182007378</v>
      </c>
    </row>
    <row r="40" spans="1:3" ht="12.75">
      <c r="A40" s="116">
        <v>34</v>
      </c>
      <c r="B40" s="117">
        <f>1/POWER(1+D6,A40)</f>
        <v>0.3104760518161771</v>
      </c>
      <c r="C40" s="117">
        <f t="shared" si="0"/>
        <v>20.700684233823555</v>
      </c>
    </row>
    <row r="41" spans="1:3" ht="12.75">
      <c r="A41" s="116">
        <v>35</v>
      </c>
      <c r="B41" s="117">
        <f>1/POWER(1+D6,A41)</f>
        <v>0.29997686165814214</v>
      </c>
      <c r="C41" s="117">
        <f t="shared" si="0"/>
        <v>21.000661095481696</v>
      </c>
    </row>
    <row r="42" spans="1:3" ht="12.75">
      <c r="A42" s="116">
        <v>36</v>
      </c>
      <c r="B42" s="117">
        <f>1/POWER(1+D6,A42)</f>
        <v>0.28983271657791515</v>
      </c>
      <c r="C42" s="117">
        <f t="shared" si="0"/>
        <v>21.290493812059612</v>
      </c>
    </row>
    <row r="43" spans="1:3" ht="12.75">
      <c r="A43" s="116">
        <v>37</v>
      </c>
      <c r="B43" s="117">
        <f>1/POWER(1+D6,A43)</f>
        <v>0.2800316102202079</v>
      </c>
      <c r="C43" s="117">
        <f t="shared" si="0"/>
        <v>21.57052542227982</v>
      </c>
    </row>
    <row r="44" spans="1:3" ht="12.75">
      <c r="A44" s="116">
        <v>38</v>
      </c>
      <c r="B44" s="117">
        <f>1/POWER(1+D6,A44)</f>
        <v>0.27056194224174673</v>
      </c>
      <c r="C44" s="117">
        <f t="shared" si="0"/>
        <v>21.84108736452157</v>
      </c>
    </row>
    <row r="45" spans="1:3" ht="12.75">
      <c r="A45" s="116">
        <v>39</v>
      </c>
      <c r="B45" s="117">
        <f>1/POWER(1+D6,A45)</f>
        <v>0.26141250458139786</v>
      </c>
      <c r="C45" s="117">
        <f t="shared" si="0"/>
        <v>22.102499869102967</v>
      </c>
    </row>
    <row r="46" spans="1:3" ht="12.75">
      <c r="A46" s="116">
        <v>40</v>
      </c>
      <c r="B46" s="117">
        <f>1/POWER(1+D6,A46)</f>
        <v>0.25257246819458734</v>
      </c>
      <c r="C46" s="117">
        <f t="shared" si="0"/>
        <v>22.355072337297553</v>
      </c>
    </row>
    <row r="47" spans="1:3" ht="12.75">
      <c r="A47" s="116">
        <v>41</v>
      </c>
      <c r="B47" s="117">
        <f>1/POWER(1+D6,A47)</f>
        <v>0.24403137023631633</v>
      </c>
      <c r="C47" s="117">
        <f t="shared" si="0"/>
        <v>22.59910370753387</v>
      </c>
    </row>
    <row r="48" spans="1:3" ht="12.75">
      <c r="A48" s="116">
        <v>42</v>
      </c>
      <c r="B48" s="117">
        <f>1/POWER(1+D6,A48)</f>
        <v>0.2357791016776003</v>
      </c>
      <c r="C48" s="117">
        <f t="shared" si="0"/>
        <v>22.83488280921147</v>
      </c>
    </row>
    <row r="49" spans="1:3" ht="12.75">
      <c r="A49" s="116">
        <v>43</v>
      </c>
      <c r="B49" s="117">
        <f>1/POWER(1+D6,A49)</f>
        <v>0.2278058953406766</v>
      </c>
      <c r="C49" s="117">
        <f t="shared" si="0"/>
        <v>23.062688704552148</v>
      </c>
    </row>
    <row r="50" spans="1:3" ht="12.75">
      <c r="A50" s="116">
        <v>44</v>
      </c>
      <c r="B50" s="117">
        <f>1/POWER(1+D6,A50)</f>
        <v>0.22010231433881802</v>
      </c>
      <c r="C50" s="117">
        <f t="shared" si="0"/>
        <v>23.282791018890965</v>
      </c>
    </row>
    <row r="51" spans="1:3" ht="12.75">
      <c r="A51" s="116">
        <v>45</v>
      </c>
      <c r="B51" s="117">
        <f>1/POWER(1+D6,A51)</f>
        <v>0.21265924090707056</v>
      </c>
      <c r="C51" s="117">
        <f t="shared" si="0"/>
        <v>23.495450259798034</v>
      </c>
    </row>
    <row r="52" spans="1:3" ht="12.75">
      <c r="A52" s="116">
        <v>46</v>
      </c>
      <c r="B52" s="117">
        <f>1/POWER(1+D6,A52)</f>
        <v>0.2054678656106962</v>
      </c>
      <c r="C52" s="117">
        <f t="shared" si="0"/>
        <v>23.70091812540873</v>
      </c>
    </row>
    <row r="53" spans="1:3" ht="12.75">
      <c r="A53" s="116">
        <v>47</v>
      </c>
      <c r="B53" s="117">
        <f>1/POWER(1+D6,A53)</f>
        <v>0.19851967691854708</v>
      </c>
      <c r="C53" s="117">
        <f t="shared" si="0"/>
        <v>23.899437802327277</v>
      </c>
    </row>
    <row r="54" spans="1:3" ht="12.75">
      <c r="A54" s="116">
        <v>48</v>
      </c>
      <c r="B54" s="117">
        <f>1/POWER(1+D6,A54)</f>
        <v>0.19180645112903102</v>
      </c>
      <c r="C54" s="117">
        <f t="shared" si="0"/>
        <v>24.09124425345631</v>
      </c>
    </row>
    <row r="55" spans="1:3" ht="12.75">
      <c r="A55" s="116">
        <v>49</v>
      </c>
      <c r="B55" s="117">
        <f>1/POWER(1+D6,A55)</f>
        <v>0.185320242636745</v>
      </c>
      <c r="C55" s="117">
        <f t="shared" si="0"/>
        <v>24.276564496093055</v>
      </c>
    </row>
    <row r="56" spans="1:3" ht="12.75">
      <c r="A56" s="116">
        <v>50</v>
      </c>
      <c r="B56" s="117">
        <f>1/POWER(1+D6,A56)</f>
        <v>0.179053374528256</v>
      </c>
      <c r="C56" s="117">
        <f t="shared" si="0"/>
        <v>24.45561787062131</v>
      </c>
    </row>
    <row r="57" spans="1:3" ht="12.75">
      <c r="A57" s="116">
        <v>51</v>
      </c>
      <c r="B57" s="117">
        <f>1/POWER(1+D6,A57)</f>
        <v>0.17299842949589955</v>
      </c>
      <c r="C57" s="117">
        <f>C56+B57</f>
        <v>24.62861630011721</v>
      </c>
    </row>
    <row r="58" spans="1:3" ht="12.75">
      <c r="A58" s="116">
        <v>52</v>
      </c>
      <c r="B58" s="117">
        <f>1/POWER(1+D6,A58)</f>
        <v>0.16714824105884016</v>
      </c>
      <c r="C58" s="117">
        <f t="shared" si="0"/>
        <v>24.795764541176048</v>
      </c>
    </row>
    <row r="59" spans="1:3" ht="12.75">
      <c r="A59" s="116">
        <v>53</v>
      </c>
      <c r="B59" s="117">
        <f>1/POWER(1+D6,A59)</f>
        <v>0.16149588508100501</v>
      </c>
      <c r="C59" s="117">
        <f t="shared" si="0"/>
        <v>24.957260426257054</v>
      </c>
    </row>
    <row r="60" spans="1:3" ht="12.75">
      <c r="A60" s="116">
        <v>54</v>
      </c>
      <c r="B60" s="117">
        <f>1/POWER(1+D6,A60)</f>
        <v>0.15603467157585027</v>
      </c>
      <c r="C60" s="117">
        <f t="shared" si="0"/>
        <v>25.113295097832903</v>
      </c>
    </row>
    <row r="61" spans="1:3" ht="12.75">
      <c r="A61" s="116">
        <v>55</v>
      </c>
      <c r="B61" s="117">
        <f>1/POWER(1+D6,A61)</f>
        <v>0.1507581367882611</v>
      </c>
      <c r="C61" s="117">
        <f t="shared" si="0"/>
        <v>25.264053234621166</v>
      </c>
    </row>
    <row r="62" spans="1:3" ht="12.75">
      <c r="A62" s="116">
        <v>56</v>
      </c>
      <c r="B62" s="117">
        <f>1/POWER(1+D6,A62)</f>
        <v>0.14566003554421367</v>
      </c>
      <c r="C62" s="117">
        <f t="shared" si="0"/>
        <v>25.40971327016538</v>
      </c>
    </row>
    <row r="63" spans="1:3" ht="12.75">
      <c r="A63" s="116">
        <v>57</v>
      </c>
      <c r="B63" s="117">
        <f>1/POWER(1+D6,A63)</f>
        <v>0.14073433385914366</v>
      </c>
      <c r="C63" s="117">
        <f t="shared" si="0"/>
        <v>25.550447604024523</v>
      </c>
    </row>
    <row r="64" spans="1:3" ht="12.75">
      <c r="A64" s="116">
        <v>58</v>
      </c>
      <c r="B64" s="117">
        <f>1/POWER(1+D6,A64)</f>
        <v>0.13597520179627406</v>
      </c>
      <c r="C64" s="117">
        <f>C63+B64</f>
        <v>25.686422805820797</v>
      </c>
    </row>
    <row r="65" spans="1:3" ht="12.75">
      <c r="A65" s="116">
        <v>59</v>
      </c>
      <c r="B65" s="117">
        <f>1/POWER(1+D6,A65)</f>
        <v>0.13137700656644835</v>
      </c>
      <c r="C65" s="117">
        <f t="shared" si="0"/>
        <v>25.817799812387246</v>
      </c>
    </row>
    <row r="66" spans="1:3" ht="12.75">
      <c r="A66" s="116">
        <v>60</v>
      </c>
      <c r="B66" s="117">
        <f>1/POWER(1+D6,A66)</f>
        <v>0.12693430586130278</v>
      </c>
      <c r="C66" s="117">
        <f t="shared" si="0"/>
        <v>25.944734118248547</v>
      </c>
    </row>
    <row r="67" spans="1:3" ht="12.75">
      <c r="A67" s="116">
        <v>61</v>
      </c>
      <c r="B67" s="117">
        <f>1/POWER(1+D6,A67)</f>
        <v>0.12264184141188678</v>
      </c>
      <c r="C67" s="117">
        <f t="shared" si="0"/>
        <v>26.067375959660435</v>
      </c>
    </row>
    <row r="68" spans="1:3" ht="12.75">
      <c r="A68" s="116">
        <v>62</v>
      </c>
      <c r="B68" s="117">
        <f>1/POWER(1+D6,A68)</f>
        <v>0.11849453276510799</v>
      </c>
      <c r="C68" s="117">
        <f t="shared" si="0"/>
        <v>26.185870492425543</v>
      </c>
    </row>
    <row r="69" spans="1:3" ht="12.75">
      <c r="A69" s="116">
        <v>63</v>
      </c>
      <c r="B69" s="117">
        <f>1/POWER(1+D6,A69)</f>
        <v>0.11448747127063574</v>
      </c>
      <c r="C69" s="117">
        <f t="shared" si="0"/>
        <v>26.30035796369618</v>
      </c>
    </row>
    <row r="70" spans="1:3" ht="12.75">
      <c r="A70" s="116">
        <v>64</v>
      </c>
      <c r="B70" s="117">
        <f>1/POWER(1+D6,A70)</f>
        <v>0.11061591427114567</v>
      </c>
      <c r="C70" s="117">
        <f t="shared" si="0"/>
        <v>26.410973877967326</v>
      </c>
    </row>
    <row r="71" spans="1:3" ht="12.75">
      <c r="A71" s="116">
        <v>65</v>
      </c>
      <c r="B71" s="117">
        <f>1/POWER(1+D6,A71)</f>
        <v>0.10687527948902965</v>
      </c>
      <c r="C71" s="117">
        <f t="shared" si="0"/>
        <v>26.517849157456354</v>
      </c>
    </row>
    <row r="72" spans="1:3" ht="12.75">
      <c r="A72" s="116">
        <v>66</v>
      </c>
      <c r="B72" s="117">
        <f>1/POWER(1+D6,A72)</f>
        <v>0.10326113960292721</v>
      </c>
      <c r="C72" s="117">
        <f aca="true" t="shared" si="1" ref="C72:C87">C71+B72</f>
        <v>26.621110297059282</v>
      </c>
    </row>
    <row r="73" spans="1:3" ht="12.75">
      <c r="A73" s="116">
        <v>67</v>
      </c>
      <c r="B73" s="117">
        <f>1/POWER(1+D6,A73)</f>
        <v>0.09976921700765914</v>
      </c>
      <c r="C73" s="117">
        <f t="shared" si="1"/>
        <v>26.72087951406694</v>
      </c>
    </row>
    <row r="74" spans="1:3" ht="12.75">
      <c r="A74" s="116">
        <v>68</v>
      </c>
      <c r="B74" s="117">
        <f>1/POWER(1+D6,A74)</f>
        <v>0.09639537875136149</v>
      </c>
      <c r="C74" s="117">
        <f t="shared" si="1"/>
        <v>26.8172748928183</v>
      </c>
    </row>
    <row r="75" spans="1:3" ht="12.75">
      <c r="A75" s="116">
        <v>69</v>
      </c>
      <c r="B75" s="117">
        <f>1/POWER(1+D6,A75)</f>
        <v>0.09313563164382754</v>
      </c>
      <c r="C75" s="117">
        <f t="shared" si="1"/>
        <v>26.91041052446213</v>
      </c>
    </row>
    <row r="76" spans="1:3" ht="12.75">
      <c r="A76" s="116">
        <v>70</v>
      </c>
      <c r="B76" s="117">
        <f>1/POWER(1+D6,A76)</f>
        <v>0.08998611753026814</v>
      </c>
      <c r="C76" s="117">
        <f t="shared" si="1"/>
        <v>27.0003966419924</v>
      </c>
    </row>
    <row r="77" spans="1:3" ht="12.75">
      <c r="A77" s="116">
        <v>71</v>
      </c>
      <c r="B77" s="117">
        <f>1/POWER(1+D6,A77)</f>
        <v>0.08694310872489677</v>
      </c>
      <c r="C77" s="117">
        <f t="shared" si="1"/>
        <v>27.087339750717295</v>
      </c>
    </row>
    <row r="78" spans="1:3" ht="12.75">
      <c r="A78" s="116">
        <v>72</v>
      </c>
      <c r="B78" s="117">
        <f>1/POWER(1+D6,A78)</f>
        <v>0.08400300359893409</v>
      </c>
      <c r="C78" s="117">
        <f t="shared" si="1"/>
        <v>27.17134275431623</v>
      </c>
    </row>
    <row r="79" spans="1:3" ht="12.75">
      <c r="A79" s="116">
        <v>73</v>
      </c>
      <c r="B79" s="117">
        <f>1/POWER(1+D6,A79)</f>
        <v>0.08116232231781073</v>
      </c>
      <c r="C79" s="117">
        <f t="shared" si="1"/>
        <v>27.25250507663404</v>
      </c>
    </row>
    <row r="80" spans="1:3" ht="12.75">
      <c r="A80" s="116">
        <v>74</v>
      </c>
      <c r="B80" s="117">
        <f>1/POWER(1+D6,A80)</f>
        <v>0.07841770272252245</v>
      </c>
      <c r="C80" s="117">
        <f t="shared" si="1"/>
        <v>27.330922779356563</v>
      </c>
    </row>
    <row r="81" spans="1:3" ht="12.75">
      <c r="A81" s="116">
        <v>75</v>
      </c>
      <c r="B81" s="117">
        <f>1/POWER(1+D6,A81)</f>
        <v>0.07576589635026323</v>
      </c>
      <c r="C81" s="117">
        <f t="shared" si="1"/>
        <v>27.406688675706825</v>
      </c>
    </row>
    <row r="82" spans="1:3" ht="12.75">
      <c r="A82" s="116">
        <v>76</v>
      </c>
      <c r="B82" s="117">
        <f>1/POWER(1+D6,A82)</f>
        <v>0.07320376458962632</v>
      </c>
      <c r="C82" s="117">
        <f t="shared" si="1"/>
        <v>27.47989244029645</v>
      </c>
    </row>
    <row r="83" spans="1:3" ht="12.75">
      <c r="A83" s="116">
        <v>77</v>
      </c>
      <c r="B83" s="117">
        <f>1/POWER(1+D6,A83)</f>
        <v>0.07072827496582254</v>
      </c>
      <c r="C83" s="117">
        <f t="shared" si="1"/>
        <v>27.550620715262273</v>
      </c>
    </row>
    <row r="84" spans="1:3" ht="12.75">
      <c r="A84" s="116">
        <v>78</v>
      </c>
      <c r="B84" s="117">
        <f>1/POWER(1+D6,A84)</f>
        <v>0.06833649755151935</v>
      </c>
      <c r="C84" s="117">
        <f t="shared" si="1"/>
        <v>27.618957212813793</v>
      </c>
    </row>
    <row r="85" spans="1:3" ht="12.75">
      <c r="A85" s="116">
        <v>79</v>
      </c>
      <c r="B85" s="117">
        <f>1/POWER(1+D6,A85)</f>
        <v>0.06602560149905252</v>
      </c>
      <c r="C85" s="117">
        <f t="shared" si="1"/>
        <v>27.684982814312846</v>
      </c>
    </row>
    <row r="86" spans="1:3" ht="12.75">
      <c r="A86" s="116">
        <v>80</v>
      </c>
      <c r="B86" s="117">
        <f>1/POWER(1+D6,A86)</f>
        <v>0.06379285168990584</v>
      </c>
      <c r="C86" s="117">
        <f t="shared" si="1"/>
        <v>27.748775666002754</v>
      </c>
    </row>
    <row r="87" spans="1:3" ht="12.75">
      <c r="A87" s="116">
        <v>81</v>
      </c>
      <c r="B87" s="117">
        <f>1/POWER(1+D6,A87)</f>
        <v>0.06163560549749356</v>
      </c>
      <c r="C87" s="117">
        <f t="shared" si="1"/>
        <v>27.810411271500246</v>
      </c>
    </row>
  </sheetData>
  <sheetProtection password="CF68" sheet="1"/>
  <mergeCells count="4">
    <mergeCell ref="A2:K2"/>
    <mergeCell ref="G6:G14"/>
    <mergeCell ref="I6:I14"/>
    <mergeCell ref="K6:K14"/>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Lister</dc:creator>
  <cp:keywords/>
  <dc:description/>
  <cp:lastModifiedBy>Graham</cp:lastModifiedBy>
  <cp:lastPrinted>2014-04-01T10:46:21Z</cp:lastPrinted>
  <dcterms:created xsi:type="dcterms:W3CDTF">2010-04-07T15:16:50Z</dcterms:created>
  <dcterms:modified xsi:type="dcterms:W3CDTF">2015-02-16T15:23:59Z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