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067"/>
  <workbookPr codeName="ThisWorkbook" defaultThemeVersion="124226"/>
  <mc:AlternateContent xmlns:mc="http://schemas.openxmlformats.org/markup-compatibility/2006">
    <mc:Choice Requires="x15">
      <x15ac:absPath xmlns:x15ac="http://schemas.microsoft.com/office/spreadsheetml/2010/11/ac" url="C:\Users\User\Documents\LSBU\"/>
    </mc:Choice>
  </mc:AlternateContent>
  <bookViews>
    <workbookView xWindow="0" yWindow="0" windowWidth="15360" windowHeight="6930" firstSheet="1" activeTab="5"/>
  </bookViews>
  <sheets>
    <sheet name="Welcome" sheetId="6" r:id="rId1"/>
    <sheet name="Data Input" sheetId="8" r:id="rId2"/>
    <sheet name="Results " sheetId="5" r:id="rId3"/>
    <sheet name="Impacts" sheetId="2" r:id="rId4"/>
    <sheet name="National Data" sheetId="3" r:id="rId5"/>
    <sheet name="Social  " sheetId="9" r:id="rId6"/>
    <sheet name="Look Up Tables" sheetId="4" r:id="rId7"/>
  </sheets>
  <definedNames>
    <definedName name="_xlnm.Print_Area" localSheetId="1">'Data Input'!$A$1:$I$94</definedName>
    <definedName name="_xlnm.Print_Area" localSheetId="3">Impacts!$A$1:$J$13</definedName>
    <definedName name="_xlnm.Print_Area" localSheetId="6">'Look Up Tables'!$A$1:$K$87</definedName>
    <definedName name="_xlnm.Print_Area" localSheetId="4">'National Data'!$A$1:$I$29</definedName>
    <definedName name="_xlnm.Print_Area" localSheetId="2">'Results '!$A$1:$I$36</definedName>
    <definedName name="_xlnm.Print_Area" localSheetId="5">'Social  '!$A$1:$I$38</definedName>
    <definedName name="_xlnm.Print_Area" localSheetId="0">Welcome!$A$1:$N$19</definedName>
  </definedNames>
  <calcPr calcId="171027"/>
</workbook>
</file>

<file path=xl/calcChain.xml><?xml version="1.0" encoding="utf-8"?>
<calcChain xmlns="http://schemas.openxmlformats.org/spreadsheetml/2006/main">
  <c r="C22" i="9" l="1"/>
  <c r="J13" i="4" l="1"/>
  <c r="J12" i="4"/>
  <c r="J11" i="4"/>
  <c r="J10" i="4"/>
  <c r="L8" i="4"/>
  <c r="L13" i="4"/>
  <c r="L12" i="4"/>
  <c r="L11" i="4"/>
  <c r="L10" i="4"/>
  <c r="L9" i="4"/>
  <c r="B31" i="9"/>
  <c r="L7" i="4"/>
  <c r="L6" i="4"/>
  <c r="I74" i="8"/>
  <c r="H74" i="8"/>
  <c r="C75" i="8"/>
  <c r="C8" i="3"/>
  <c r="B6" i="4"/>
  <c r="B7" i="4"/>
  <c r="C7" i="4"/>
  <c r="B8" i="4"/>
  <c r="C8" i="4"/>
  <c r="B9" i="4"/>
  <c r="C9" i="4" s="1"/>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6" i="3"/>
  <c r="B8" i="3" s="1"/>
  <c r="B19" i="3" s="1"/>
  <c r="B18" i="3"/>
  <c r="B20" i="3"/>
  <c r="B21" i="3"/>
  <c r="B68" i="8"/>
  <c r="C68" i="8"/>
  <c r="D68" i="8"/>
  <c r="E68" i="8"/>
  <c r="B74" i="8"/>
  <c r="C74" i="8"/>
  <c r="D74" i="8"/>
  <c r="E74" i="8"/>
  <c r="F74" i="8"/>
  <c r="G74" i="8"/>
  <c r="D89" i="8"/>
  <c r="C89" i="8" s="1"/>
  <c r="D7" i="5" s="1"/>
  <c r="E89" i="8"/>
  <c r="D90" i="8"/>
  <c r="E90" i="8"/>
  <c r="F90" i="8"/>
  <c r="G90" i="8"/>
  <c r="D24" i="5" s="1"/>
  <c r="B17" i="3" l="1"/>
  <c r="C29" i="3"/>
  <c r="E29" i="3" s="1"/>
  <c r="C16" i="9"/>
  <c r="B16" i="9" s="1"/>
  <c r="C8" i="9"/>
  <c r="E8" i="9" s="1"/>
  <c r="B23" i="3"/>
  <c r="C28" i="3"/>
  <c r="C10" i="4"/>
  <c r="C11" i="4" s="1"/>
  <c r="C12" i="4" s="1"/>
  <c r="C13" i="4" s="1"/>
  <c r="C14" i="4" s="1"/>
  <c r="C15" i="4" s="1"/>
  <c r="C16" i="4" s="1"/>
  <c r="C17" i="4" s="1"/>
  <c r="C18" i="4" s="1"/>
  <c r="C19" i="4" s="1"/>
  <c r="C20" i="4" s="1"/>
  <c r="C21" i="4" s="1"/>
  <c r="C22" i="4" s="1"/>
  <c r="C23" i="4" s="1"/>
  <c r="C24" i="4" s="1"/>
  <c r="C25" i="4" s="1"/>
  <c r="C26" i="4" s="1"/>
  <c r="C27" i="4" s="1"/>
  <c r="C28" i="4" s="1"/>
  <c r="C29" i="4" s="1"/>
  <c r="C30" i="4" s="1"/>
  <c r="C31" i="4" s="1"/>
  <c r="C32" i="4" s="1"/>
  <c r="C33" i="4" s="1"/>
  <c r="C34" i="4" s="1"/>
  <c r="C35" i="4" s="1"/>
  <c r="C36" i="4" s="1"/>
  <c r="C37" i="4" s="1"/>
  <c r="C38" i="4" s="1"/>
  <c r="C39" i="4" s="1"/>
  <c r="C40" i="4" s="1"/>
  <c r="C41" i="4" s="1"/>
  <c r="C42" i="4" s="1"/>
  <c r="C43" i="4" s="1"/>
  <c r="C44" i="4" s="1"/>
  <c r="C45" i="4" s="1"/>
  <c r="C46" i="4" s="1"/>
  <c r="C47" i="4" s="1"/>
  <c r="C48" i="4" s="1"/>
  <c r="C49" i="4" s="1"/>
  <c r="C50" i="4" s="1"/>
  <c r="C51" i="4" s="1"/>
  <c r="C52" i="4" s="1"/>
  <c r="C53" i="4" s="1"/>
  <c r="C54" i="4" s="1"/>
  <c r="C55" i="4" s="1"/>
  <c r="C56" i="4" s="1"/>
  <c r="C57" i="4" s="1"/>
  <c r="C58" i="4" s="1"/>
  <c r="C59" i="4" s="1"/>
  <c r="C60" i="4" s="1"/>
  <c r="C61" i="4" s="1"/>
  <c r="C62" i="4" s="1"/>
  <c r="C63" i="4" s="1"/>
  <c r="C64" i="4" s="1"/>
  <c r="C65" i="4" s="1"/>
  <c r="C66" i="4" s="1"/>
  <c r="C67" i="4" s="1"/>
  <c r="C68" i="4" s="1"/>
  <c r="C69" i="4" s="1"/>
  <c r="C70" i="4" s="1"/>
  <c r="C71" i="4" s="1"/>
  <c r="C72" i="4" s="1"/>
  <c r="C73" i="4" s="1"/>
  <c r="C74" i="4" s="1"/>
  <c r="C75" i="4" s="1"/>
  <c r="C76" i="4" s="1"/>
  <c r="C77" i="4" s="1"/>
  <c r="C78" i="4" s="1"/>
  <c r="C79" i="4" s="1"/>
  <c r="C80" i="4" s="1"/>
  <c r="C81" i="4" s="1"/>
  <c r="C82" i="4" s="1"/>
  <c r="C83" i="4" s="1"/>
  <c r="C84" i="4" s="1"/>
  <c r="C85" i="4" s="1"/>
  <c r="C86" i="4" s="1"/>
  <c r="C87" i="4" s="1"/>
  <c r="C7" i="9"/>
  <c r="C23" i="9"/>
  <c r="B23" i="9" s="1"/>
  <c r="B22" i="3"/>
  <c r="C15" i="9"/>
  <c r="B30" i="9"/>
  <c r="B5" i="2"/>
  <c r="C90" i="8"/>
  <c r="C9" i="9"/>
  <c r="B8" i="9" l="1"/>
  <c r="B17" i="9"/>
  <c r="B10" i="9"/>
  <c r="E28" i="3"/>
  <c r="C25" i="9"/>
  <c r="B25" i="9" s="1"/>
  <c r="D8" i="9"/>
  <c r="G5" i="2"/>
  <c r="H5" i="2" s="1"/>
  <c r="B7" i="5" s="1"/>
  <c r="C30" i="9" s="1"/>
  <c r="E21" i="5" s="1"/>
  <c r="B9" i="2"/>
  <c r="G9" i="2" s="1"/>
  <c r="H9" i="2" s="1"/>
  <c r="B12" i="2"/>
  <c r="G12" i="2" s="1"/>
  <c r="H12" i="2" s="1"/>
  <c r="B32" i="9"/>
  <c r="B33" i="9"/>
  <c r="C33" i="9" s="1"/>
  <c r="C31" i="5" s="1"/>
  <c r="B22" i="9"/>
  <c r="E9" i="9"/>
  <c r="D9" i="9"/>
  <c r="B9" i="9"/>
  <c r="D21" i="5" s="1"/>
  <c r="B15" i="9"/>
  <c r="B18" i="9" s="1"/>
  <c r="B19" i="9" s="1"/>
  <c r="E7" i="9"/>
  <c r="C11" i="9"/>
  <c r="B7" i="9"/>
  <c r="D7" i="9"/>
  <c r="C27" i="5" l="1"/>
  <c r="C21" i="5"/>
  <c r="C32" i="9"/>
  <c r="E11" i="9"/>
  <c r="D11" i="9"/>
  <c r="C17" i="9"/>
  <c r="C18" i="9" s="1"/>
  <c r="C19" i="9" s="1"/>
  <c r="C24" i="9" s="1"/>
  <c r="B21" i="5"/>
  <c r="B11" i="9"/>
  <c r="B27" i="5"/>
  <c r="B14" i="5"/>
  <c r="B11" i="5"/>
  <c r="C31" i="9"/>
  <c r="B31" i="5" s="1"/>
  <c r="C36" i="5" s="1"/>
  <c r="C9" i="5"/>
  <c r="B37" i="9"/>
  <c r="B24" i="5"/>
  <c r="C24" i="5"/>
  <c r="B13" i="5"/>
  <c r="B12" i="5"/>
  <c r="F21" i="5"/>
  <c r="C10" i="5"/>
  <c r="C8" i="5"/>
  <c r="E7" i="5"/>
  <c r="E24" i="5" l="1"/>
  <c r="D8" i="5"/>
  <c r="E8" i="5" s="1"/>
  <c r="D9" i="5"/>
  <c r="G13" i="5"/>
  <c r="B16" i="5"/>
  <c r="H13" i="5"/>
  <c r="B36" i="5"/>
  <c r="D36" i="5"/>
  <c r="G14" i="5"/>
  <c r="H14" i="5"/>
  <c r="G21" i="5"/>
  <c r="H9" i="5"/>
  <c r="H7" i="5"/>
  <c r="G7" i="5"/>
  <c r="G12" i="5"/>
  <c r="B17" i="5"/>
  <c r="H12" i="5"/>
  <c r="B15" i="5"/>
  <c r="G11" i="5"/>
  <c r="H11" i="5"/>
  <c r="B24" i="9"/>
  <c r="C26" i="9"/>
  <c r="G15" i="5" l="1"/>
  <c r="H15" i="5"/>
  <c r="G17" i="5"/>
  <c r="H17" i="5"/>
  <c r="H16" i="5"/>
  <c r="G16" i="5"/>
  <c r="E9" i="5"/>
  <c r="G9" i="5" s="1"/>
  <c r="E27" i="5"/>
  <c r="D27" i="5"/>
  <c r="B26" i="9"/>
  <c r="G8" i="5"/>
  <c r="B35" i="9"/>
  <c r="E31" i="5" s="1"/>
  <c r="C35" i="9"/>
  <c r="B34" i="9" s="1"/>
  <c r="C34" i="9" s="1"/>
  <c r="D31" i="5" s="1"/>
  <c r="H8" i="5"/>
  <c r="F27" i="5" l="1"/>
  <c r="C35" i="5" s="1"/>
  <c r="B35" i="5" l="1"/>
  <c r="D35" i="5"/>
</calcChain>
</file>

<file path=xl/sharedStrings.xml><?xml version="1.0" encoding="utf-8"?>
<sst xmlns="http://schemas.openxmlformats.org/spreadsheetml/2006/main" count="325" uniqueCount="283">
  <si>
    <t>Comment</t>
  </si>
  <si>
    <t xml:space="preserve"> </t>
  </si>
  <si>
    <t>DALYs</t>
  </si>
  <si>
    <t>YLD</t>
  </si>
  <si>
    <t>Total all cause</t>
  </si>
  <si>
    <t xml:space="preserve">Behaviour Change Value for Money Tool  </t>
  </si>
  <si>
    <t>This Ready Reckoner was Commissioned by the National Social Marketing Centre and produced by Graham Lister as an aide to Commissioners and Providers of Behaviour Change Interventions.</t>
  </si>
  <si>
    <t>Data and Values For Behaviour Change Intervention</t>
  </si>
  <si>
    <t xml:space="preserve">                                       Costs  £</t>
  </si>
  <si>
    <t xml:space="preserve">Intervention cost </t>
  </si>
  <si>
    <t>NHS and other public sector costs</t>
  </si>
  <si>
    <t xml:space="preserve">Total costs </t>
  </si>
  <si>
    <t>Sensitvity Analysis</t>
  </si>
  <si>
    <t>Local Authority  Wellbeing and Social Care</t>
  </si>
  <si>
    <t>Benefits to clients and their families</t>
  </si>
  <si>
    <t>Reduced cost of informal care</t>
  </si>
  <si>
    <t xml:space="preserve"> Cost to clients</t>
  </si>
  <si>
    <t>Net Benefit from the intervention</t>
  </si>
  <si>
    <t>Conversion from DALYs to QALYs</t>
  </si>
  <si>
    <t>Social Impacts of Achieving Behaviour Change Indicator</t>
  </si>
  <si>
    <t>Outcomes</t>
  </si>
  <si>
    <t>2008/9</t>
  </si>
  <si>
    <t>2009/10</t>
  </si>
  <si>
    <t>2010/11</t>
  </si>
  <si>
    <t>2007/8</t>
  </si>
  <si>
    <t>2011/12</t>
  </si>
  <si>
    <t>2012/13</t>
  </si>
  <si>
    <t>Impact Estimates</t>
  </si>
  <si>
    <t>Cost of Sickness Related Absenteeism</t>
  </si>
  <si>
    <t>Cost of Lost Productivity at Work</t>
  </si>
  <si>
    <t xml:space="preserve"> Cost to employers</t>
  </si>
  <si>
    <t>Reduced Absenteeism</t>
  </si>
  <si>
    <t>Improved Productivity</t>
  </si>
  <si>
    <t>Intervention   Cost to employers</t>
  </si>
  <si>
    <t>Reduced Sickness and Incapacity Benefits</t>
  </si>
  <si>
    <t>Reduced      informal care</t>
  </si>
  <si>
    <t>Tax Impact</t>
  </si>
  <si>
    <t xml:space="preserve">Human Value </t>
  </si>
  <si>
    <t>Human Value based on Health England Leading Priorities weighting scheme</t>
  </si>
  <si>
    <t>Benefits to wider society</t>
  </si>
  <si>
    <t>Impact of Early Deaths</t>
  </si>
  <si>
    <t xml:space="preserve">Undiscounted savings </t>
  </si>
  <si>
    <t>Benefits to Employers from intervention</t>
  </si>
  <si>
    <t>Net Impact on  Government and Public Services</t>
  </si>
  <si>
    <t>A positive number indicates a net saving a negative number is an increase in costs</t>
  </si>
  <si>
    <t xml:space="preserve">Public Services  affected by Alcohol Misuse                </t>
  </si>
  <si>
    <t>Police and other criminal justice services</t>
  </si>
  <si>
    <t>Allocated alcohol related cost increased for inflation</t>
  </si>
  <si>
    <t>Potential gain per alcohol misuse year averted</t>
  </si>
  <si>
    <t>Reduced Expenditure on alcohol</t>
  </si>
  <si>
    <t>Reduced Tax and excise Duty from Alcohol</t>
  </si>
  <si>
    <t>Impact on Public Funds of intervention</t>
  </si>
  <si>
    <t>Expenditure on Alcohol</t>
  </si>
  <si>
    <t>Discounted Lifetime Impact for successful alcohol control</t>
  </si>
  <si>
    <t>Cost of Crime other than Criminal Justice Services</t>
  </si>
  <si>
    <t>Total Cost of Services 2007/8</t>
  </si>
  <si>
    <t>Annual Impact for  successful long term alcohol control per person</t>
  </si>
  <si>
    <t>This can be used as an arguement for sharing costs with employers</t>
  </si>
  <si>
    <t xml:space="preserve">Total  Impact  of alcohol misuse  </t>
  </si>
  <si>
    <t xml:space="preserve"> Net NHS, and other Public Service  costs already noted</t>
  </si>
  <si>
    <t>NHS, LA and other Public service cost savings</t>
  </si>
  <si>
    <t>Total  Impact  of Behaviour change intervention</t>
  </si>
  <si>
    <t>Human Value of QALYs saved</t>
  </si>
  <si>
    <t>Which mode of intervention is most similar to the one you are supporting</t>
  </si>
  <si>
    <t>Alcohol related cost per QALY</t>
  </si>
  <si>
    <t>Benefits to clients and their families per QALY</t>
  </si>
  <si>
    <t>Benefits to employers per QALY</t>
  </si>
  <si>
    <t>Impact per QALY</t>
  </si>
  <si>
    <t>For more detailed guidance on costing the intervention see the NICE Costing Guide available from the web site.</t>
  </si>
  <si>
    <t>Costs or inducements to Clients</t>
  </si>
  <si>
    <t>Alcohol Related</t>
  </si>
  <si>
    <t>Societal Value</t>
  </si>
  <si>
    <t>Deaths Averted Low and High Estimates</t>
  </si>
  <si>
    <t xml:space="preserve">Total Deaths Averted </t>
  </si>
  <si>
    <t>Total Years of Life Added</t>
  </si>
  <si>
    <t xml:space="preserve">Total Years Lived with Disability Reduced </t>
  </si>
  <si>
    <t>Total Human Value using your weight for QALYs</t>
  </si>
  <si>
    <t>Tell Them About Alcohol: For Love or Money</t>
  </si>
  <si>
    <t>You will need to input cost, outcome data and values concerning the intervention to be reviewed (see Data Input tab). The tool will calculate VfM in terms of net public sector costs per health gain, and the social impact of the investment (see Results tab).</t>
  </si>
  <si>
    <t>CONTROL CELLS DO NOT ERASE</t>
  </si>
  <si>
    <r>
      <rPr>
        <b/>
        <sz val="16"/>
        <color indexed="56"/>
        <rFont val="Arial"/>
        <family val="2"/>
      </rPr>
      <t>Table 1:</t>
    </r>
    <r>
      <rPr>
        <b/>
        <sz val="16"/>
        <color indexed="57"/>
        <rFont val="Arial"/>
        <family val="2"/>
      </rPr>
      <t xml:space="preserve"> </t>
    </r>
    <r>
      <rPr>
        <b/>
        <sz val="14"/>
        <color indexed="56"/>
        <rFont val="Arial"/>
        <family val="2"/>
      </rPr>
      <t>Intervention Costs</t>
    </r>
    <r>
      <rPr>
        <b/>
        <sz val="14"/>
        <color indexed="57"/>
        <rFont val="Arial"/>
        <family val="2"/>
      </rPr>
      <t xml:space="preserve"> </t>
    </r>
    <r>
      <rPr>
        <b/>
        <sz val="16"/>
        <color indexed="57"/>
        <rFont val="Arial"/>
        <family val="2"/>
      </rPr>
      <t xml:space="preserve">- </t>
    </r>
    <r>
      <rPr>
        <b/>
        <sz val="12"/>
        <color indexed="57"/>
        <rFont val="Arial"/>
        <family val="2"/>
      </rPr>
      <t xml:space="preserve">Enter Costs relating to one year or period for which you have outcomes </t>
    </r>
  </si>
  <si>
    <t>1. Please enter the:</t>
  </si>
  <si>
    <t>a) cost of planning and developing the intervention</t>
  </si>
  <si>
    <t>b) annual revenue costs per year of supporting the intervention</t>
  </si>
  <si>
    <t>2. What are the:</t>
  </si>
  <si>
    <t>a) NHS set up costs including capital, training, and reorganisation?</t>
  </si>
  <si>
    <t>b) NHS annual revenue costs per year?</t>
  </si>
  <si>
    <t>b) annual revenue costs per year?</t>
  </si>
  <si>
    <t>b) annual revenue costs per year:</t>
  </si>
  <si>
    <t>a) cost of planning and developing the intervention:</t>
  </si>
  <si>
    <t>The tool will spread set up costs over the period indicated.</t>
  </si>
  <si>
    <t>The Reach of the project is a term used in the Health England Leading Prioritisation scheme. It denotes the % of the population who would be affected if the project were to be applied to all eligeable clients. For example 24% of the population can be identified as problem drinkers but only half of these may contact their GP or A&amp;E services.</t>
  </si>
  <si>
    <t>Do not enter data here. These cells are automatically generated.</t>
  </si>
  <si>
    <t>Local Public Sector cost</t>
  </si>
  <si>
    <t>Societal costs</t>
  </si>
  <si>
    <r>
      <t xml:space="preserve"> </t>
    </r>
    <r>
      <rPr>
        <b/>
        <sz val="26"/>
        <color indexed="56"/>
        <rFont val="Arial"/>
        <family val="2"/>
      </rPr>
      <t>Results</t>
    </r>
  </si>
  <si>
    <t xml:space="preserve"> (outcomes and costs discounted to present values)</t>
  </si>
  <si>
    <r>
      <rPr>
        <b/>
        <sz val="14"/>
        <color indexed="56"/>
        <rFont val="Arial"/>
        <family val="2"/>
      </rPr>
      <t>Table 1:</t>
    </r>
    <r>
      <rPr>
        <b/>
        <sz val="14"/>
        <rFont val="Arial"/>
        <family val="2"/>
      </rPr>
      <t xml:space="preserve"> </t>
    </r>
    <r>
      <rPr>
        <b/>
        <sz val="14"/>
        <color indexed="57"/>
        <rFont val="Arial"/>
        <family val="2"/>
      </rPr>
      <t>Net Local Public Sector Cost Per Health Gain</t>
    </r>
    <r>
      <rPr>
        <b/>
        <sz val="14"/>
        <rFont val="Arial"/>
        <family val="2"/>
      </rPr>
      <t/>
    </r>
  </si>
  <si>
    <t>Health  Impact (QALY)</t>
  </si>
  <si>
    <t>Public Sector Services Cost Savings</t>
  </si>
  <si>
    <t>Net Cost to Public sector</t>
  </si>
  <si>
    <t>Net cost Per Health Gain (£/QALY)</t>
  </si>
  <si>
    <t>High estimate</t>
  </si>
  <si>
    <t>Low estimate</t>
  </si>
  <si>
    <t>Cost Savings to NHS from Health Gain</t>
  </si>
  <si>
    <t>Value for money before savings</t>
  </si>
  <si>
    <t>Value for money net of NHS cost savings</t>
  </si>
  <si>
    <t>Value for Money net of public service savings</t>
  </si>
  <si>
    <t>Outcome per additional brief intervention delivered</t>
  </si>
  <si>
    <t>Cost savings to Police and Other Criminal Justice Services</t>
  </si>
  <si>
    <t xml:space="preserve">Cost savings to Social Care </t>
  </si>
  <si>
    <t>Increased employment income and pension less tax and reduced benefit payments</t>
  </si>
  <si>
    <r>
      <rPr>
        <b/>
        <sz val="14"/>
        <color indexed="56"/>
        <rFont val="Arial"/>
        <family val="2"/>
      </rPr>
      <t>Table 2b:</t>
    </r>
    <r>
      <rPr>
        <b/>
        <sz val="14"/>
        <color indexed="57"/>
        <rFont val="Arial"/>
        <family val="2"/>
      </rPr>
      <t xml:space="preserve"> Societal Impacts: Employers</t>
    </r>
  </si>
  <si>
    <r>
      <rPr>
        <b/>
        <sz val="14"/>
        <color indexed="56"/>
        <rFont val="Arial"/>
        <family val="2"/>
      </rPr>
      <t>Table 2c:</t>
    </r>
    <r>
      <rPr>
        <b/>
        <sz val="14"/>
        <color indexed="57"/>
        <rFont val="Arial"/>
        <family val="2"/>
      </rPr>
      <t xml:space="preserve"> Societal Impacts: Government and Services</t>
    </r>
  </si>
  <si>
    <r>
      <rPr>
        <b/>
        <sz val="14"/>
        <color indexed="56"/>
        <rFont val="Arial"/>
        <family val="2"/>
      </rPr>
      <t>Table 2d:</t>
    </r>
    <r>
      <rPr>
        <b/>
        <sz val="14"/>
        <color indexed="57"/>
        <rFont val="Arial"/>
        <family val="2"/>
      </rPr>
      <t xml:space="preserve"> Societal Impacts: Wider Society</t>
    </r>
  </si>
  <si>
    <r>
      <rPr>
        <b/>
        <sz val="16"/>
        <color indexed="56"/>
        <rFont val="Arial"/>
        <family val="2"/>
      </rPr>
      <t xml:space="preserve">Table 1: </t>
    </r>
    <r>
      <rPr>
        <b/>
        <sz val="16"/>
        <color indexed="57"/>
        <rFont val="Arial"/>
        <family val="2"/>
      </rPr>
      <t>Central Scenario</t>
    </r>
  </si>
  <si>
    <t>National Baseline Data</t>
  </si>
  <si>
    <t>based on current evidence to be updated as knowledge improves</t>
  </si>
  <si>
    <r>
      <rPr>
        <b/>
        <sz val="16"/>
        <color indexed="56"/>
        <rFont val="Arial"/>
        <family val="2"/>
      </rPr>
      <t xml:space="preserve">Table 1: </t>
    </r>
    <r>
      <rPr>
        <b/>
        <sz val="16"/>
        <color indexed="57"/>
        <rFont val="Arial"/>
        <family val="2"/>
      </rPr>
      <t>Health Burden and NHS Cost Estimates</t>
    </r>
  </si>
  <si>
    <t>Health Burden Estimates and costs for England (2001 - 2006 and 2007)</t>
  </si>
  <si>
    <t>Years of Life Lost (YLL)</t>
  </si>
  <si>
    <t>Years Lived with Disability weighted for disability (YLD)</t>
  </si>
  <si>
    <t>Adult Population Problem Drinkers (in 1993 and 2007)</t>
  </si>
  <si>
    <t>Attributable NHS Costs (£2007/8)</t>
  </si>
  <si>
    <r>
      <rPr>
        <b/>
        <sz val="14"/>
        <color indexed="56"/>
        <rFont val="Arial"/>
        <family val="2"/>
      </rPr>
      <t>Table 2:</t>
    </r>
    <r>
      <rPr>
        <b/>
        <sz val="14"/>
        <color indexed="8"/>
        <rFont val="Arial"/>
        <family val="2"/>
      </rPr>
      <t xml:space="preserve"> </t>
    </r>
    <r>
      <rPr>
        <b/>
        <sz val="14"/>
        <color indexed="57"/>
        <rFont val="Arial"/>
        <family val="2"/>
      </rPr>
      <t>Potential Gain and NHS Savings for avoiding alcohol misuse risks</t>
    </r>
  </si>
  <si>
    <r>
      <t>Potential Health Gain and NHS Saving</t>
    </r>
    <r>
      <rPr>
        <sz val="12"/>
        <color indexed="9"/>
        <rFont val="Arial"/>
        <family val="2"/>
      </rPr>
      <t xml:space="preserve"> (per person avoiding behaviour risk per year)</t>
    </r>
  </si>
  <si>
    <t xml:space="preserve">YLL </t>
  </si>
  <si>
    <t xml:space="preserve">Deaths   </t>
  </si>
  <si>
    <t>NHS Cost Savings per year per person avoiding risk</t>
  </si>
  <si>
    <t>NHS Cost Savings per QALY</t>
  </si>
  <si>
    <r>
      <rPr>
        <b/>
        <sz val="14"/>
        <color indexed="56"/>
        <rFont val="Arial"/>
        <family val="2"/>
      </rPr>
      <t>Table 3:</t>
    </r>
    <r>
      <rPr>
        <b/>
        <sz val="14"/>
        <color indexed="8"/>
        <rFont val="Arial"/>
        <family val="2"/>
      </rPr>
      <t xml:space="preserve"> </t>
    </r>
    <r>
      <rPr>
        <b/>
        <sz val="14"/>
        <color indexed="57"/>
        <rFont val="Arial"/>
        <family val="2"/>
      </rPr>
      <t>Local Authority and Other Service Costs relevant to Alcohol Misuse</t>
    </r>
  </si>
  <si>
    <r>
      <rPr>
        <b/>
        <sz val="16"/>
        <color indexed="56"/>
        <rFont val="Arial"/>
        <family val="2"/>
      </rPr>
      <t>Table 2a:</t>
    </r>
    <r>
      <rPr>
        <b/>
        <sz val="16"/>
        <color indexed="57"/>
        <rFont val="Arial"/>
        <family val="2"/>
      </rPr>
      <t xml:space="preserve"> Societal Impacts: Clients</t>
    </r>
  </si>
  <si>
    <t xml:space="preserve">Impact Estimates              </t>
  </si>
  <si>
    <t>Estimates of the total cost of informal care were updated from the 2007 report by Carers UK (61) which calculates the total value of informal care for England at £70.5 billion in 2006/7 values based on a replacement cost of £14.5 per hour but for the current review it was assumed that carer time should be valued not at replacement labour cost but at a leisure cost of £5.5 per hour in 2008/9, this gives a total cost of £26.7 billion in 2008/9. Allocating this on the basis of Years Lived with Disability weighted for disability suggests a total cost for alcohol misuse of  some £1.6 billion.</t>
  </si>
  <si>
    <t>It should be noted that these societal costs are not necessarily losses to the economy as a whole. Clients gain pleasure from alcohol. Making and selling junk drinks creates jobs for others. Employment opportunities missed by people affected by alcohol are filled by others. In presenting this information to clients it may be helpful to quote the undiscounted costs as these give a better idea of lifetime costs even without considering future inflation. This figure varies with the age of clients.</t>
  </si>
  <si>
    <r>
      <rPr>
        <b/>
        <sz val="16"/>
        <color indexed="56"/>
        <rFont val="Arial"/>
        <family val="2"/>
      </rPr>
      <t>Table 2b:</t>
    </r>
    <r>
      <rPr>
        <b/>
        <sz val="16"/>
        <color indexed="57"/>
        <rFont val="Arial"/>
        <family val="2"/>
      </rPr>
      <t xml:space="preserve"> Societal Impacts: Employers</t>
    </r>
  </si>
  <si>
    <t xml:space="preserve">The estimated cost to employers of absence due to alcohol misuse quoted by the Cabinet Office paper "Alcohol misuse: How much does it cost” adjusted for 2007/8 values is between £1.25 and £1.85 billion. </t>
  </si>
  <si>
    <t>The effective rate of tax on increased employer income is assumed to be 10%.</t>
  </si>
  <si>
    <r>
      <rPr>
        <b/>
        <sz val="16"/>
        <color indexed="56"/>
        <rFont val="Arial"/>
        <family val="2"/>
      </rPr>
      <t>Table 2c:</t>
    </r>
    <r>
      <rPr>
        <b/>
        <sz val="16"/>
        <color indexed="57"/>
        <rFont val="Arial"/>
        <family val="2"/>
      </rPr>
      <t xml:space="preserve"> Impact on Government and Services </t>
    </r>
  </si>
  <si>
    <t xml:space="preserve">Sickness and incapacity benefits payments are taken from Dame Carol Black's report Working for a Healthier tomorrow allocated according to Years Lived with Disability weighted for disability. </t>
  </si>
  <si>
    <t>Net Impact on Government and Services</t>
  </si>
  <si>
    <r>
      <rPr>
        <b/>
        <sz val="16"/>
        <color indexed="56"/>
        <rFont val="Arial"/>
        <family val="2"/>
      </rPr>
      <t>Table 2d:</t>
    </r>
    <r>
      <rPr>
        <b/>
        <sz val="16"/>
        <color indexed="57"/>
        <rFont val="Arial"/>
        <family val="2"/>
      </rPr>
      <t xml:space="preserve"> Wider Society Impacts </t>
    </r>
  </si>
  <si>
    <t>Value weighted for Impact on Disadvantage applying your chosen weight</t>
  </si>
  <si>
    <t>Value derived from HELP weighting</t>
  </si>
  <si>
    <t>HELP Total Utility Score / HELP derived weight for disadvantage</t>
  </si>
  <si>
    <t xml:space="preserve">Whether or not to apply a weight to projects that address disadvantage or hard to reach groups is an issue for local decision. It may be helpful to refer to the HELP web site to review priorities as a separate issue or to choose a local weight.  HELP can be found at http://help.matrixknowledge.com/                                                                                                                                                        Purely as a guide  the tool calculates the weighting that would arise for equity by setting the reach of the project R as you input and applying the  values of Cost effectiveness C and Disadvantage D at values obtained from the analysis. This also indicates the total utility score which would be generated using the HELP formula as shown below.                                                                                                                                                                                                                                                  Utility = e(-0.0000586x C  + 0.0435987 x R +  0.119895x D)                           </t>
  </si>
  <si>
    <t>Look Up Tables</t>
  </si>
  <si>
    <t>This tool can be used to help you to plan and evaluate social marketing and other ways to support advice and guidance on alcohol control. It is confidential to you and you can choose whether and how to report the results.</t>
  </si>
  <si>
    <t>Where the project or elements of it are is contracted to private or voluntary sector providers VAT should be excluded but all other costs relating to one year of full operation and management of the contract should be included. Full staff costs, including management time and other variable costs such as benefits and materials should be included but not unavoidable central overheads such as management and premises costs that do not vary with the level of activity performed..</t>
  </si>
  <si>
    <t>Development and set up costs to the NHS may include training and reorganisation.</t>
  </si>
  <si>
    <t>If the project gives rise to costs for other public sector providers such as: local authority social services, schools or other education providers, leisure and sports facilities, police services etc the costs incurred by public sector staff , for example as time spent in training to refer people to relevant alcohol awareness services may be relevant.</t>
  </si>
  <si>
    <t xml:space="preserve">If other public sector sector workers as above are expected to spend additional time in refering people with signs of alcohol problem this may give rise to costs, however this should be in addition to normal duties.  </t>
  </si>
  <si>
    <t>a) annual revenue cost per year</t>
  </si>
  <si>
    <t>If employers (or other partners such as supermarkets or alcohol producers or licensed bar operators) contribute to the cost of an intervention this should be recorded as a social cost and this may reduce the public sector intervention costs. Training of bar staff or alcohol sales staff may be relevant if paid for by the private sector.</t>
  </si>
  <si>
    <t>Development costs should not include general needs assessment or research but may include  costs relating to the design and application of a specific behaviour change project.In this case this applies to interventions designed to support health professionals in delivering brief interventions to clients (potential alcohol misusers). These costs may be funded by PCTs, Local Authorities or other agencies.</t>
  </si>
  <si>
    <t xml:space="preserve">Additional staff time required to deliver the additional brief interventions on alcohol harm reduction and in some cases additional screening. The cost of premises and/or equipment should be included only if they are specific to the project and would otherwise not be required or if they are in such high demand that other valuable activities must be curtailed. </t>
  </si>
  <si>
    <t xml:space="preserve">If clients pay for prescriptions or are charged for services the total annual costs to all clients should be recorded as a social cost rather than a project cost.  If clients recieve a reward or payment, total costs should be included in project costs and a negative value should be entered here representing total payments recieved. </t>
  </si>
  <si>
    <t>If sales assistants or bar staff or other private sector employees are engaged in the project and play a role in directing people to alcohol awareness services this may be a relevant cost contribution by the private sector.</t>
  </si>
  <si>
    <t>1. Enter the number of behaviour change interventions in the year evaluated</t>
  </si>
  <si>
    <t>This tool is designed for the evaluation of social marketing or other behaviour change programmes targetted at health professionals to persuade and train them to deliver effective brief interventions to address alcohol misuse. The key indicator is the number of  clients to whom brief interventions are effectively delivered. It will be important to establish measures of what constitutes effective delivery and some review and retraining may be built into the costs.</t>
  </si>
  <si>
    <t>Costs to Employers or other partners</t>
  </si>
  <si>
    <t xml:space="preserve">Discounted  Impact Multiplier </t>
  </si>
  <si>
    <t>QALY  Impact</t>
  </si>
  <si>
    <t>Base case (how many people would have changed without intervention) %</t>
  </si>
  <si>
    <t>Persistence rate first Year  %</t>
  </si>
  <si>
    <t>Persistence rate years   2-10 %</t>
  </si>
  <si>
    <t xml:space="preserve">Assumptions </t>
  </si>
  <si>
    <t>Estimates to be verified by data as far as possible</t>
  </si>
  <si>
    <r>
      <rPr>
        <b/>
        <sz val="16"/>
        <color indexed="56"/>
        <rFont val="Arial"/>
        <family val="2"/>
      </rPr>
      <t xml:space="preserve">Table 3: </t>
    </r>
    <r>
      <rPr>
        <b/>
        <sz val="16"/>
        <color indexed="57"/>
        <rFont val="Arial"/>
        <family val="2"/>
      </rPr>
      <t>Low Scenario</t>
    </r>
  </si>
  <si>
    <r>
      <rPr>
        <b/>
        <sz val="16"/>
        <color indexed="56"/>
        <rFont val="Arial"/>
        <family val="2"/>
      </rPr>
      <t xml:space="preserve">Table 2: </t>
    </r>
    <r>
      <rPr>
        <b/>
        <sz val="16"/>
        <color indexed="57"/>
        <rFont val="Arial"/>
        <family val="2"/>
      </rPr>
      <t>High  Scenario</t>
    </r>
  </si>
  <si>
    <t xml:space="preserve">QALY Outcome Per Additional Brief Intervention                     </t>
  </si>
  <si>
    <t>Informal care is priced at the value of leisure time rate in 2007/8 (£5.50 per hour) updated for inflation.</t>
  </si>
  <si>
    <t>This may be based on the Index of Multiple Deprivation of the areas of residence or some other measure of deprivation agreed locally.</t>
  </si>
  <si>
    <t xml:space="preserve">If the project increases the number of brief alcohol harm interventions being delivered from a previously achieved level please enter the number of interventions delivered before the current intervention. </t>
  </si>
  <si>
    <t>Response to intervention (shift from heavy to moderate drinking) %</t>
  </si>
  <si>
    <t>Health recovery rate  assumed immediate</t>
  </si>
  <si>
    <t>Health recovery rate assumed immediate</t>
  </si>
  <si>
    <r>
      <rPr>
        <b/>
        <sz val="16"/>
        <color indexed="56"/>
        <rFont val="Arial"/>
        <family val="2"/>
      </rPr>
      <t>Table 1:</t>
    </r>
    <r>
      <rPr>
        <b/>
        <sz val="16"/>
        <color indexed="57"/>
        <rFont val="Arial"/>
        <family val="2"/>
      </rPr>
      <t xml:space="preserve"> Discount rates for benefits (or costs in future years)</t>
    </r>
  </si>
  <si>
    <t>Base year for costs</t>
  </si>
  <si>
    <r>
      <t xml:space="preserve">NHS Inflation Factor </t>
    </r>
    <r>
      <rPr>
        <sz val="9"/>
        <color indexed="9"/>
        <rFont val="Arial"/>
        <family val="2"/>
      </rPr>
      <t>(to bring NHS costs to base year value)</t>
    </r>
  </si>
  <si>
    <r>
      <t>LA Inflation Factor</t>
    </r>
    <r>
      <rPr>
        <sz val="9"/>
        <color indexed="9"/>
        <rFont val="Arial"/>
        <family val="2"/>
      </rPr>
      <t xml:space="preserve"> (to bring LA costs to base year value)</t>
    </r>
  </si>
  <si>
    <t>Income and leisure time inflation</t>
  </si>
  <si>
    <t>for Social Time Preference Discount and Inflation Rates - can be updated.</t>
  </si>
  <si>
    <t>These assumptions have been set to reproduce QALY outcomes from benchmark studies</t>
  </si>
  <si>
    <t xml:space="preserve">Long run marginal cost impact </t>
  </si>
  <si>
    <t>These assumptions express the relationship between change from heavy to moderate alcohol consumption used in the benchmark studies and could be improved. High and low scenarios generate outcomes based on 10% higher and lower levels of behaviour change (see User Guide).</t>
  </si>
  <si>
    <t>National Statistics for the Department of Communities and Local Government report shows expenditure of £7.2 billion related to adult social care and  other adult services.  These savings are allocated on the basis of weighted years lived with disability. This is likely to underestimate the social care costs associated with alcohol abuse. These figures are inflated to current values for the chosen year, long run marginal cost impacts are considered (see User Guide)</t>
  </si>
  <si>
    <t xml:space="preserve">     Total Cost of alcohol misuse to employers</t>
  </si>
  <si>
    <t xml:space="preserve">The percentage of clients who are currently employed is most relevant if you are looking at employer impacts for adults in the workplace.                       </t>
  </si>
  <si>
    <t>The weight for disavantage is an option that allows you to give an extra value to impacts on disadvantaged people.  This is controversial DH argue that QALYs should not be weighted in this way as everyone's health is of equal value. Others argue that addressing disadvantage has additional value see User Guide.</t>
  </si>
  <si>
    <t xml:space="preserve"> NHS expenditure estimates have been Increased in line with House of Commons Library Standard Note SN/SG/724 NHS Funding and Expenditure 12 January 2011  by Rachael Harker. It is recognized that these are broad cost estimates that need to be improved but these figures at least provide a starting point for assessing overall cost impacts.</t>
  </si>
  <si>
    <t>Either select one case most similar to your intervention or select Case 4 and fill in the estimated impact on % behaviour change shift from heavy to moderate drinking.</t>
  </si>
  <si>
    <t xml:space="preserve"> Evidence of the impact of brief interventions is drawn from papers provided by NICE.                                                Case 3 refers to a 5 minute opportunistic intervention by a Doctor in a GP setting. This suggests a shift of perhaps 0.5% from heavy to moderate drinking one year after the intervention.</t>
  </si>
  <si>
    <t>If you have data on the impact of your intervention measures one year after the intervention please enter the % change you achieve (or plan to achieve) from heavy to moderate drinking, see the User Guide.</t>
  </si>
  <si>
    <t xml:space="preserve"> Evidence of the impact of brief interventions is drawn from papers provided by NICE.                                                Case 1 refers to an evaluation for Health England of a project involving use of the FAST 3 test, and a 25 minute intervention delivered by an alcohol specialist nurse in a separate interview for patients attending A&amp;E. This produced a 1.4% shift from heavy to moderate drinking one year after the intervention.</t>
  </si>
  <si>
    <t>Hospital admissions for alcohol related harm</t>
  </si>
  <si>
    <t>Figures taken from Local Authority Alcohol Profiles for England 2007/8</t>
  </si>
  <si>
    <t>Alcohol related hospital admissions</t>
  </si>
  <si>
    <t>This is simply the number of admissions divided by the population at risk in 1993 noting that while some A&amp;E admissions relate to recent behaviour most admissions reflect risks  resulting from established behaviour patterns.</t>
  </si>
  <si>
    <t>Total Hospital admissions averted (over the long term)</t>
  </si>
  <si>
    <t>Hospital admissions averted</t>
  </si>
  <si>
    <t>This has been interpreted as the number of people needed to be given brief interventions for each alcohol related death averted.</t>
  </si>
  <si>
    <t xml:space="preserve"> Total Years Lived with Disability Reduced</t>
  </si>
  <si>
    <t>Number Needed To Treat to avoid death</t>
  </si>
  <si>
    <t>Number Needed to Treat to avert  admission</t>
  </si>
  <si>
    <t>This has been interpreted as the number of people needed to be given brief interventions for each alcohol related hospital admission averted.</t>
  </si>
  <si>
    <t>Cost of Crime other than criminal Justice costs (i.e. Costs to the public)</t>
  </si>
  <si>
    <t>HELP utility score</t>
  </si>
  <si>
    <r>
      <rPr>
        <b/>
        <sz val="16"/>
        <color indexed="56"/>
        <rFont val="Arial"/>
        <family val="2"/>
      </rPr>
      <t>Table 2e:</t>
    </r>
    <r>
      <rPr>
        <b/>
        <sz val="16"/>
        <color indexed="57"/>
        <rFont val="Arial"/>
        <family val="2"/>
      </rPr>
      <t xml:space="preserve"> Societal Impact: Social Return on Investment</t>
    </r>
  </si>
  <si>
    <t>Basis for calculating SROI</t>
  </si>
  <si>
    <t>SROI based on Human Value of QALYs</t>
  </si>
  <si>
    <t>SROI Based on  impact on stakeholders</t>
  </si>
  <si>
    <t xml:space="preserve">Increased  tax income less additional pension payments </t>
  </si>
  <si>
    <r>
      <rPr>
        <sz val="14"/>
        <color indexed="9"/>
        <rFont val="Arial"/>
        <family val="2"/>
      </rPr>
      <t>Social Return on Investment (SROI) Estimates:</t>
    </r>
    <r>
      <rPr>
        <sz val="12"/>
        <color indexed="9"/>
        <rFont val="Arial"/>
        <family val="2"/>
      </rPr>
      <t xml:space="preserve">                                                                                                                                                                                                                                                                 High</t>
    </r>
    <r>
      <rPr>
        <sz val="11"/>
        <color indexed="9"/>
        <rFont val="Arial"/>
        <family val="2"/>
      </rPr>
      <t xml:space="preserve">                                   Central                           Low</t>
    </r>
    <r>
      <rPr>
        <sz val="12"/>
        <color indexed="9"/>
        <rFont val="Arial"/>
        <family val="2"/>
      </rPr>
      <t xml:space="preserve"> </t>
    </r>
  </si>
  <si>
    <r>
      <rPr>
        <b/>
        <sz val="14"/>
        <color indexed="57"/>
        <rFont val="Arial"/>
        <family val="2"/>
      </rPr>
      <t>Intervention Cost Summary -</t>
    </r>
    <r>
      <rPr>
        <b/>
        <sz val="14"/>
        <color indexed="56"/>
        <rFont val="Arial"/>
        <family val="2"/>
      </rPr>
      <t xml:space="preserve"> </t>
    </r>
    <r>
      <rPr>
        <sz val="14"/>
        <color indexed="56"/>
        <rFont val="Arial"/>
        <family val="2"/>
      </rPr>
      <t>A</t>
    </r>
    <r>
      <rPr>
        <b/>
        <sz val="12"/>
        <color indexed="56"/>
        <rFont val="Arial"/>
        <family val="2"/>
      </rPr>
      <t>utomatic summary of one year costs entered</t>
    </r>
  </si>
  <si>
    <t>Number Needed To Treat to avert admission</t>
  </si>
  <si>
    <r>
      <t>Social Discount Factor</t>
    </r>
    <r>
      <rPr>
        <sz val="9"/>
        <color indexed="9"/>
        <rFont val="Arial"/>
        <family val="2"/>
      </rPr>
      <t xml:space="preserve"> (for single inputs)</t>
    </r>
  </si>
  <si>
    <r>
      <t>Social Discount factor</t>
    </r>
    <r>
      <rPr>
        <sz val="9"/>
        <color indexed="9"/>
        <rFont val="Arial"/>
        <family val="2"/>
      </rPr>
      <t xml:space="preserve"> (for a benefit stream)</t>
    </r>
  </si>
  <si>
    <r>
      <t>Social Discount factor</t>
    </r>
    <r>
      <rPr>
        <sz val="9"/>
        <color indexed="9"/>
        <rFont val="Arial"/>
        <family val="2"/>
      </rPr>
      <t xml:space="preserve">  (can be changed)</t>
    </r>
  </si>
  <si>
    <t>3. Add in any other public sector costs, if relevant:</t>
  </si>
  <si>
    <t>4. Charges, costs or incentives to clients (if relevant)</t>
  </si>
  <si>
    <t>5. Employer or other partner costs (if relevant)</t>
  </si>
  <si>
    <t>6. Over how many years should development and training costs be spread?</t>
  </si>
  <si>
    <t xml:space="preserve">Table 2: Clients and Outcomes - </t>
  </si>
  <si>
    <t>2.  Case 4: Impact on shift from heavy to moderate drinking after one year (you can input your own values if known)</t>
  </si>
  <si>
    <t>3. What percentage of clients are in the most disadvantaged 20% or are in a special hard to reach group?</t>
  </si>
  <si>
    <t>5. Which mode of intervention is most similar to the one you are supporting?</t>
  </si>
  <si>
    <t>4. Baseline comparator how many interventions were being delivered in prior year:</t>
  </si>
  <si>
    <t>6. What year's prices are you using?</t>
  </si>
  <si>
    <r>
      <t xml:space="preserve">7. Enter your weight for disadvantage </t>
    </r>
    <r>
      <rPr>
        <i/>
        <sz val="12"/>
        <color indexed="56"/>
        <rFont val="Arial"/>
        <family val="2"/>
      </rPr>
      <t>(optional)</t>
    </r>
  </si>
  <si>
    <t>8. Enter the percentage of clients currently employed:</t>
  </si>
  <si>
    <r>
      <t xml:space="preserve">9. Enter the reach </t>
    </r>
    <r>
      <rPr>
        <sz val="12"/>
        <color indexed="56"/>
        <rFont val="Arial"/>
        <family val="2"/>
      </rPr>
      <t>(proportion of the population eligible</t>
    </r>
    <r>
      <rPr>
        <i/>
        <sz val="12"/>
        <color indexed="56"/>
        <rFont val="Arial"/>
        <family val="2"/>
      </rPr>
      <t xml:space="preserve"> - optional</t>
    </r>
    <r>
      <rPr>
        <sz val="12"/>
        <color indexed="56"/>
        <rFont val="Arial"/>
        <family val="2"/>
      </rPr>
      <t>)</t>
    </r>
  </si>
  <si>
    <r>
      <rPr>
        <b/>
        <sz val="14"/>
        <color indexed="56"/>
        <rFont val="Arial"/>
        <family val="2"/>
      </rPr>
      <t>Table 2a:</t>
    </r>
    <r>
      <rPr>
        <b/>
        <sz val="14"/>
        <color indexed="57"/>
        <rFont val="Arial"/>
        <family val="2"/>
      </rPr>
      <t xml:space="preserve"> Societal Impacts: Lifetime Benefits to Clients</t>
    </r>
  </si>
  <si>
    <t>This is based on the Cabinet Office Paper "Alcohol misuse: How much does it cost”  of 2003 updated for more recent cost of crime figures and adjusted for England in 2007/8 = £.7 7 billion of which 15% are alcohol related =£1.16.  Drink driving offences are separately estimated at £ 625 million, giving a total of £1.78 billion in 2007/8 expenditure levels these are inflated at the rate assumed for LA services and take into account the long run marginal cost impact of alcohol abuse. (see User Guide).</t>
  </si>
  <si>
    <t>Impact on employment and pension income less tax and benefits</t>
  </si>
  <si>
    <t>Loss of income arising from death and lower levels of employment offset by sickness and benefit payments give a net cost to heavy drinkers of £1.88 billion that can be saved by a shift from heavy to moderate alcohol consumption (see User Guide)</t>
  </si>
  <si>
    <t>Net Benefit from the intervention after tax</t>
  </si>
  <si>
    <t>Tax income is estimated on the basis of the Cabinet Office Paper "Alcohol misuse: How much does it cost”  of 2003 which suggests that years of life lost before the age of 65 may amount to 42% of total YLL, valuing lost employment at the median wage of £25,250 with an effective tax rate of 12.5% in 2007/8. Pension payment impacts are based on years of life lost assuming 58% are pensionable years and state pensions of £5,000 per annum.</t>
  </si>
  <si>
    <t>Net Benefit from the intervention per QALY</t>
  </si>
  <si>
    <t xml:space="preserve">Net Benefit to employers from the intervention before tax </t>
  </si>
  <si>
    <t>Excise Duty and VAT</t>
  </si>
  <si>
    <t>Sickness and Incapacity Benefits</t>
  </si>
  <si>
    <t>Tax income less increased pension payments less  tax</t>
  </si>
  <si>
    <t>2. Case 1: Impact on shift from heavy to moderate drinking after one year (automatic do not enter data)</t>
  </si>
  <si>
    <t>2. Case 2: Impact on shift from heavy to moderate drinking after one year (automatic do not enter data)</t>
  </si>
  <si>
    <t>2.  Case 3: Impact on shift from heavy to moderate drinking  after one year (automatic do not enter data)</t>
  </si>
  <si>
    <t>The SROI is expressed as a number 1 would mean a return of £1 in financial terms to all stakeholders for every £1 spent by all stakeholders.This can be calculated as the return to all stakeholders divided by the cost to all stakeholders (societal cost). A negative value means it costs more than it saves</t>
  </si>
  <si>
    <t>2014/15</t>
  </si>
  <si>
    <t>3,5% is the Treasury recommended rate but NICE suggest that sensitivity analysis should test results for discount rates of 1.5% and 6%. This can be examined by changing this figure.</t>
  </si>
  <si>
    <t>Comments</t>
  </si>
  <si>
    <t xml:space="preserve">  </t>
  </si>
  <si>
    <t>The Cabinet Office Paper  "Alcohol misuse: How much does it cost”  of 2003 gives a value  for deaths attributable to alcohol of between 14,400 and 20,700 for England and includes deaths "partially attributable to alcohol" an average of these figures is used here. The Institute of Health Metrics and Evaluations analysis gives a figure of 3.607% of total deaths</t>
  </si>
  <si>
    <t xml:space="preserve"> Price of alcohol inflation  </t>
  </si>
  <si>
    <t xml:space="preserve"> Inflation rate for alcohol price  </t>
  </si>
  <si>
    <t xml:space="preserve"> Comment</t>
  </si>
  <si>
    <t>http://www.hscic.gov.uk/catalogue/PUB00122/alco-eng-2009-rep.pdf</t>
  </si>
  <si>
    <t>This reflects price increases 2000- 2008 this may increase if a minimum price per unit is introduced  inflation rate can be changed see.</t>
  </si>
  <si>
    <t xml:space="preserve">The current Institute of Alcohol Studies “Fact Sheet : Economic Costs and Benefits" provides an estimate of household consumption on alcohol of £43.6 billion for England in 2007/8 prices. It is estimated that 25% of this may relate to alcohol misuse. Thus this does not reflect a change to complete abstinence from alcohol but only moderation.               </t>
  </si>
  <si>
    <t>Costs  have been updated in accordance with the paper by the Secretary of State for the Home Department (March 2012) “The Government’s Alcohol Strategy.” HM Government . This suggests total costs to NHS England of £3.5 billion in 2009/10 cost levels equivalent to £3.0835 b in 2007/8.</t>
  </si>
  <si>
    <r>
      <rPr>
        <sz val="10"/>
        <color indexed="63"/>
        <rFont val="Arial"/>
        <family val="2"/>
      </rPr>
      <t>Alcohol harm is cumulative therefore for the purpose of estimating impacts on NHS costs it is helpful to consider the population at risk over the past 20 years, but other costs such as criminal justice costs are more immediately related to current levels of alcohol abuse. The 1998 Health Survey for England identified 21% of adults  (27% men and 14% women), who drank more than the 21 units for men and 14 units for women. By 2007 24% of adults (33% of men and 16% of women) were defined as at risk of alcohol abuse as indicated by an Alcohol Use Disorder Identification Test (AUDIT) score of 8 or more and 4% of people at risk of major harm with a score of 16 or more</t>
    </r>
    <r>
      <rPr>
        <sz val="10"/>
        <color indexed="23"/>
        <rFont val="Arial"/>
        <family val="2"/>
      </rPr>
      <t>.</t>
    </r>
  </si>
  <si>
    <t xml:space="preserve">The estimate of the cost of alcohol related crime has been updated    in accordance with the paper by the Secretary of State for the Home Department (March 2012) “The Government’s Alcohol Strategy.” HM Government . This suggests total costs to NHS England of £11 billion in 2010/11cost levels equivalent to £9.75 b in 2008/9 costs.                                                                                                                                                                                                                                                                                                                                                                                                                                                                                                                                                                         </t>
  </si>
  <si>
    <t>The cost of lost productivity at work due to alcohol misuse at the workplace (or the night before) is variously estimated but it seems generally agreed that this is at least equal to absenteeism costs. As a starting point mid range estimates are used ,</t>
  </si>
  <si>
    <t xml:space="preserve">While it was decided not to take into account the offsetting savings of the impact of early deaths on NHS costs for ethical reasons and because such savings are not considered in relation to drugs or other interventions, it is possible to estimate a broad value for this effect based on an age related cost of £2718 per person year in 2007/8 prices for age 75-84 discounted from the end of life. This value depends the age of the client but  it would reduce cost savings to the NHS by approximately this amount. </t>
  </si>
  <si>
    <t xml:space="preserve">  Evidence of the impact of brief interventions is drawn from papers provided by NICE.                                               Case 2 refers to a further evaluation undertaken by Health England of a project using AUDIT screening and delivery by a GP of a booklet, a workbook anf information sheets. two 15 minute interviews and follow up calls by a practice nurse. This resulted in a 7.6% shift from heavy to moderate drinking one year after the intervention.</t>
  </si>
  <si>
    <t>The Human value of a QALY can be regarded as the social cost of pain and grief caused by death and illness as well as the loss in productivity to society not only to the client but to family and community. In 2014 NICE propose that a value of £20,000 should be used as the societal cost of a QALY lost or gained. They note that this might in some circumstances be raised to £30,000 as a limiting value, but they have not suggested how this figure should be subject to inflation. Thus for this evaluation the human cost of a QALY is set at £20,000 (bu you could unlock the page to change this).</t>
  </si>
  <si>
    <t>SROI can also be claculated on the basis of the unweighted human value of health impacts estimated at £20,000 per QALY in 2013/14 (with no update for inflation as suggested by NICE) divided by the total societal cost. However, since the Human Value may include consideration of the return to stakeholders these cannot be added, they are different ways of evaluating SROI.</t>
  </si>
  <si>
    <t>LA expenditure estimates have been Increased from 2008/9 levels to 2014/15 but from this point LA total expenditure has increased only marginally and Social care expenditure has decrease leaving a £2.6 billion funding gap</t>
  </si>
  <si>
    <t>2016/17</t>
  </si>
  <si>
    <t>2018/19</t>
  </si>
  <si>
    <t>2015/16</t>
  </si>
  <si>
    <t>2017/18</t>
  </si>
  <si>
    <t>2019/20</t>
  </si>
  <si>
    <t>1,51</t>
  </si>
  <si>
    <t>NHS expenditure estimates have been Increased in line with House of Commons Library Standard Note Number SN0724, 14 June 2017 NHS England Funding and Expenditure by Rachael Harker. This assumes expenditure increases with overall net expenditure but these inflators can be adjusted</t>
  </si>
  <si>
    <t>Income and iesure inflation rate based on median disposeable household income at current prices as published by National Statistics projections beyond 2016 are at a growth rate of 2% p.a.</t>
  </si>
  <si>
    <t>Attributable Health Burden (% DALYs 2013)</t>
  </si>
  <si>
    <t>Premature Deaths (2013)</t>
  </si>
  <si>
    <t xml:space="preserve">The updated DALYs used by IHME no longer include age weights and therefore are deirectly related to QALYs that is DALYs lost = QALYs gained
</t>
  </si>
  <si>
    <t>Excise duty and VAT is as reported by the Institute for Alcohol studies for 2004/5. It has been adjusted for England and increased in line with income inflation to a 2007/8 value of  £13.25 billion  25% of which is due to alcohol misuse.</t>
  </si>
  <si>
    <t>While the tool has been made as easy to use as possible, you should refer to the User Guide, NICE Costing Guidelines and Glossary available from the web site. You may also may benefit from training available from NSMC. This tool has been updated with research evidence as at June 2017.</t>
  </si>
  <si>
    <t xml:space="preserve">Estimates of attributable burden of disease (Population Attributable Fractions) are taken from The Institute of Health Metric and Evaluation analysis of Global Burden of Disease figures applied to UK 2013 outcomes. At http://vizhub.healthdata.org/gbd-compare/  </t>
  </si>
  <si>
    <t xml:space="preserve"> Estimates of total DALYs are derive from The Institute of Health Metric and Evaluation analysis of Global Burden of Disease figures applied to UK 2013 outcomes and adjusted for population of England  </t>
  </si>
  <si>
    <t xml:space="preserve"> Estimates of total Years of Life Lost and the PAF for alcohol (6.145%) are derive from The Institute of Health Metric and Evaluation analysis of Global Burden of Disease figures applied to UK 2013 0 outcomes and adjusted for population of England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</si>
</sst>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quot;£&quot;#,##0;[Red]\-&quot;£&quot;#,##0"/>
    <numFmt numFmtId="165" formatCode="&quot;£&quot;#,##0.00;[Red]\-&quot;£&quot;#,##0.00"/>
    <numFmt numFmtId="166" formatCode="_-&quot;£&quot;* #,##0.00_-;\-&quot;£&quot;* #,##0.00_-;_-&quot;£&quot;* &quot;-&quot;??_-;_-@_-"/>
    <numFmt numFmtId="167" formatCode="&quot;£&quot;#,##0"/>
    <numFmt numFmtId="168" formatCode="&quot;£&quot;#,##0.00"/>
    <numFmt numFmtId="169" formatCode="&quot;£&quot;#,##0.0"/>
    <numFmt numFmtId="170" formatCode="&quot;£&quot;#,##0.0;[Red]\-&quot;£&quot;#,##0.0"/>
    <numFmt numFmtId="171" formatCode="0.0000"/>
    <numFmt numFmtId="172" formatCode="&quot;£&quot;#,##0_);[Red]\(&quot;£&quot;#,##0\)"/>
    <numFmt numFmtId="173" formatCode="0.0%"/>
    <numFmt numFmtId="174" formatCode="0.000"/>
    <numFmt numFmtId="175" formatCode="#,##0.000"/>
  </numFmts>
  <fonts count="60" x14ac:knownFonts="1">
    <font>
      <sz val="10"/>
      <name val="Arial"/>
    </font>
    <font>
      <sz val="10"/>
      <name val="Arial"/>
      <family val="2"/>
    </font>
    <font>
      <sz val="12"/>
      <name val="Arial"/>
      <family val="2"/>
    </font>
    <font>
      <b/>
      <sz val="12"/>
      <name val="Arial"/>
      <family val="2"/>
    </font>
    <font>
      <b/>
      <sz val="12"/>
      <color indexed="9"/>
      <name val="Arial"/>
      <family val="2"/>
    </font>
    <font>
      <sz val="8"/>
      <name val="Arial"/>
      <family val="2"/>
    </font>
    <font>
      <b/>
      <sz val="26"/>
      <name val="Arial"/>
      <family val="2"/>
    </font>
    <font>
      <b/>
      <sz val="10"/>
      <name val="Arial"/>
      <family val="2"/>
    </font>
    <font>
      <sz val="14"/>
      <name val="Arial"/>
      <family val="2"/>
    </font>
    <font>
      <b/>
      <sz val="14"/>
      <name val="Arial"/>
      <family val="2"/>
    </font>
    <font>
      <sz val="12"/>
      <color indexed="8"/>
      <name val="Arial"/>
      <family val="2"/>
    </font>
    <font>
      <sz val="12"/>
      <name val="Arial"/>
      <family val="2"/>
    </font>
    <font>
      <sz val="10"/>
      <name val="Arial"/>
      <family val="2"/>
    </font>
    <font>
      <b/>
      <sz val="48"/>
      <name val="Arial"/>
      <family val="2"/>
    </font>
    <font>
      <b/>
      <sz val="16"/>
      <name val="Arial"/>
      <family val="2"/>
    </font>
    <font>
      <sz val="18"/>
      <name val="Arial"/>
      <family val="2"/>
    </font>
    <font>
      <b/>
      <sz val="14"/>
      <color indexed="8"/>
      <name val="Arial"/>
      <family val="2"/>
    </font>
    <font>
      <sz val="8"/>
      <color indexed="8"/>
      <name val="Arial"/>
      <family val="2"/>
    </font>
    <font>
      <sz val="11"/>
      <name val="Arial"/>
      <family val="2"/>
    </font>
    <font>
      <b/>
      <sz val="11"/>
      <name val="Arial"/>
      <family val="2"/>
    </font>
    <font>
      <b/>
      <sz val="16"/>
      <color indexed="57"/>
      <name val="Arial"/>
      <family val="2"/>
    </font>
    <font>
      <b/>
      <sz val="16"/>
      <color indexed="56"/>
      <name val="Arial"/>
      <family val="2"/>
    </font>
    <font>
      <b/>
      <sz val="14"/>
      <color indexed="56"/>
      <name val="Arial"/>
      <family val="2"/>
    </font>
    <font>
      <b/>
      <sz val="14"/>
      <color indexed="57"/>
      <name val="Arial"/>
      <family val="2"/>
    </font>
    <font>
      <b/>
      <sz val="12"/>
      <color indexed="57"/>
      <name val="Arial"/>
      <family val="2"/>
    </font>
    <font>
      <b/>
      <sz val="12"/>
      <color indexed="56"/>
      <name val="Arial"/>
      <family val="2"/>
    </font>
    <font>
      <sz val="12"/>
      <color indexed="56"/>
      <name val="Arial"/>
      <family val="2"/>
    </font>
    <font>
      <i/>
      <sz val="12"/>
      <color indexed="56"/>
      <name val="Arial"/>
      <family val="2"/>
    </font>
    <font>
      <sz val="16"/>
      <color indexed="9"/>
      <name val="Arial"/>
      <family val="2"/>
    </font>
    <font>
      <sz val="11"/>
      <color indexed="9"/>
      <name val="Arial"/>
      <family val="2"/>
    </font>
    <font>
      <b/>
      <sz val="26"/>
      <color indexed="56"/>
      <name val="Arial"/>
      <family val="2"/>
    </font>
    <font>
      <sz val="12"/>
      <color indexed="9"/>
      <name val="Arial"/>
      <family val="2"/>
    </font>
    <font>
      <sz val="14"/>
      <color indexed="9"/>
      <name val="Arial"/>
      <family val="2"/>
    </font>
    <font>
      <sz val="9"/>
      <name val="Arial"/>
      <family val="2"/>
    </font>
    <font>
      <sz val="9"/>
      <color indexed="9"/>
      <name val="Arial"/>
      <family val="2"/>
    </font>
    <font>
      <sz val="14"/>
      <color indexed="56"/>
      <name val="Arial"/>
      <family val="2"/>
    </font>
    <font>
      <sz val="10"/>
      <color indexed="63"/>
      <name val="Arial"/>
      <family val="2"/>
    </font>
    <font>
      <sz val="10"/>
      <color indexed="23"/>
      <name val="Arial"/>
      <family val="2"/>
    </font>
    <font>
      <b/>
      <sz val="20"/>
      <color rgb="FF005581"/>
      <name val="Arial"/>
      <family val="2"/>
    </font>
    <font>
      <b/>
      <sz val="18"/>
      <color rgb="FF005581"/>
      <name val="Arial"/>
      <family val="2"/>
    </font>
    <font>
      <b/>
      <sz val="16"/>
      <color rgb="FF54B948"/>
      <name val="Arial"/>
      <family val="2"/>
    </font>
    <font>
      <b/>
      <sz val="12"/>
      <color rgb="FF005581"/>
      <name val="Arial"/>
      <family val="2"/>
    </font>
    <font>
      <sz val="12"/>
      <color rgb="FF005581"/>
      <name val="Arial"/>
      <family val="2"/>
    </font>
    <font>
      <sz val="9"/>
      <color theme="1" tint="0.34998626667073579"/>
      <name val="Arial"/>
      <family val="2"/>
    </font>
    <font>
      <b/>
      <sz val="14"/>
      <color rgb="FF005581"/>
      <name val="Arial"/>
      <family val="2"/>
    </font>
    <font>
      <b/>
      <sz val="12"/>
      <color theme="0"/>
      <name val="Arial"/>
      <family val="2"/>
    </font>
    <font>
      <b/>
      <sz val="12"/>
      <color theme="0" tint="-0.249977111117893"/>
      <name val="Arial"/>
      <family val="2"/>
    </font>
    <font>
      <b/>
      <sz val="16"/>
      <color rgb="FF005581"/>
      <name val="Arial"/>
      <family val="2"/>
    </font>
    <font>
      <b/>
      <sz val="14"/>
      <color rgb="FF54B948"/>
      <name val="Arial"/>
      <family val="2"/>
    </font>
    <font>
      <b/>
      <sz val="11"/>
      <color rgb="FF005581"/>
      <name val="Arial"/>
      <family val="2"/>
    </font>
    <font>
      <sz val="11"/>
      <color rgb="FF005581"/>
      <name val="Arial"/>
      <family val="2"/>
    </font>
    <font>
      <b/>
      <sz val="11"/>
      <color theme="3"/>
      <name val="Arial"/>
      <family val="2"/>
    </font>
    <font>
      <sz val="10"/>
      <color rgb="FF005581"/>
      <name val="Arial"/>
      <family val="2"/>
    </font>
    <font>
      <sz val="18"/>
      <color rgb="FF54B948"/>
      <name val="Arial"/>
      <family val="2"/>
    </font>
    <font>
      <sz val="11"/>
      <color rgb="FF000000"/>
      <name val="Arial"/>
      <family val="2"/>
    </font>
    <font>
      <sz val="10"/>
      <color theme="1" tint="0.34998626667073579"/>
      <name val="Arial"/>
      <family val="2"/>
    </font>
    <font>
      <b/>
      <sz val="14"/>
      <color theme="1"/>
      <name val="Arial"/>
      <family val="2"/>
    </font>
    <font>
      <sz val="10"/>
      <color theme="1" tint="0.499984740745262"/>
      <name val="Arial"/>
      <family val="2"/>
    </font>
    <font>
      <sz val="9"/>
      <color rgb="FF005581"/>
      <name val="Arial"/>
      <family val="2"/>
    </font>
    <font>
      <sz val="8"/>
      <color rgb="FF000000"/>
      <name val="Tahoma"/>
      <family val="2"/>
    </font>
  </fonts>
  <fills count="8">
    <fill>
      <patternFill patternType="none"/>
    </fill>
    <fill>
      <patternFill patternType="gray125"/>
    </fill>
    <fill>
      <patternFill patternType="solid">
        <fgColor theme="4"/>
        <bgColor indexed="64"/>
      </patternFill>
    </fill>
    <fill>
      <patternFill patternType="solid">
        <fgColor theme="5"/>
        <bgColor indexed="64"/>
      </patternFill>
    </fill>
    <fill>
      <gradientFill degree="90">
        <stop position="0">
          <color rgb="FF00AFDB"/>
        </stop>
        <stop position="1">
          <color rgb="FF005581"/>
        </stop>
      </gradientFill>
    </fill>
    <fill>
      <patternFill patternType="solid">
        <fgColor rgb="FF005581"/>
        <bgColor indexed="64"/>
      </patternFill>
    </fill>
    <fill>
      <gradientFill degree="270">
        <stop position="0">
          <color rgb="FF005581"/>
        </stop>
        <stop position="1">
          <color rgb="FF00AFDB"/>
        </stop>
      </gradientFill>
    </fill>
    <fill>
      <patternFill patternType="solid">
        <fgColor theme="0"/>
        <bgColor indexed="64"/>
      </patternFill>
    </fill>
  </fills>
  <borders count="9">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rgb="FF005581"/>
      </left>
      <right style="thin">
        <color rgb="FF005581"/>
      </right>
      <top style="thin">
        <color rgb="FF005581"/>
      </top>
      <bottom style="thin">
        <color rgb="FF005581"/>
      </bottom>
      <diagonal/>
    </border>
  </borders>
  <cellStyleXfs count="2">
    <xf numFmtId="0" fontId="0" fillId="0" borderId="0"/>
    <xf numFmtId="0" fontId="1" fillId="0" borderId="0"/>
  </cellStyleXfs>
  <cellXfs count="223">
    <xf numFmtId="0" fontId="0" fillId="0" borderId="0" xfId="0"/>
    <xf numFmtId="0" fontId="0" fillId="0" borderId="0" xfId="0" applyBorder="1" applyProtection="1">
      <protection hidden="1"/>
    </xf>
    <xf numFmtId="0" fontId="12" fillId="0" borderId="0" xfId="0" applyFont="1" applyBorder="1" applyProtection="1">
      <protection hidden="1"/>
    </xf>
    <xf numFmtId="0" fontId="38" fillId="0" borderId="0" xfId="0" applyFont="1" applyAlignment="1" applyProtection="1">
      <alignment horizontal="left"/>
      <protection hidden="1"/>
    </xf>
    <xf numFmtId="0" fontId="6" fillId="0" borderId="0" xfId="0" applyFont="1" applyBorder="1" applyProtection="1">
      <protection hidden="1"/>
    </xf>
    <xf numFmtId="0" fontId="13" fillId="0" borderId="0" xfId="0" applyFont="1" applyBorder="1" applyProtection="1">
      <protection hidden="1"/>
    </xf>
    <xf numFmtId="0" fontId="0" fillId="0" borderId="0" xfId="0" applyBorder="1" applyAlignment="1" applyProtection="1">
      <alignment horizontal="left" vertical="center" wrapText="1"/>
      <protection hidden="1"/>
    </xf>
    <xf numFmtId="0" fontId="0" fillId="0" borderId="0" xfId="0" applyProtection="1">
      <protection hidden="1"/>
    </xf>
    <xf numFmtId="0" fontId="0" fillId="0" borderId="0" xfId="0" applyAlignment="1" applyProtection="1">
      <alignment horizontal="left" vertical="center" wrapText="1"/>
      <protection hidden="1"/>
    </xf>
    <xf numFmtId="0" fontId="0" fillId="0" borderId="0" xfId="0" applyBorder="1" applyAlignment="1" applyProtection="1">
      <alignment wrapText="1"/>
      <protection hidden="1"/>
    </xf>
    <xf numFmtId="0" fontId="3" fillId="0" borderId="0" xfId="0" applyFont="1" applyAlignment="1" applyProtection="1">
      <alignment horizontal="left" vertical="center"/>
      <protection hidden="1"/>
    </xf>
    <xf numFmtId="0" fontId="7" fillId="0" borderId="0" xfId="0" applyFont="1" applyAlignment="1" applyProtection="1">
      <alignment horizontal="left" vertical="center"/>
      <protection hidden="1"/>
    </xf>
    <xf numFmtId="0" fontId="7" fillId="0" borderId="0" xfId="0" applyFont="1" applyBorder="1" applyAlignment="1" applyProtection="1">
      <alignment horizontal="left" vertical="center"/>
      <protection hidden="1"/>
    </xf>
    <xf numFmtId="0" fontId="0" fillId="0" borderId="0" xfId="0" applyBorder="1" applyAlignment="1" applyProtection="1">
      <alignment horizontal="left" vertical="center"/>
      <protection hidden="1"/>
    </xf>
    <xf numFmtId="0" fontId="0" fillId="0" borderId="0" xfId="0" applyAlignment="1" applyProtection="1">
      <alignment horizontal="left" vertical="center"/>
      <protection hidden="1"/>
    </xf>
    <xf numFmtId="0" fontId="3" fillId="0" borderId="0" xfId="0" applyFont="1" applyBorder="1" applyAlignment="1" applyProtection="1">
      <alignment horizontal="left" vertical="center" wrapText="1"/>
      <protection hidden="1"/>
    </xf>
    <xf numFmtId="0" fontId="3" fillId="0" borderId="0" xfId="0" applyFont="1" applyBorder="1" applyProtection="1">
      <protection hidden="1"/>
    </xf>
    <xf numFmtId="0" fontId="3" fillId="0" borderId="0" xfId="0" applyFont="1" applyBorder="1" applyAlignment="1" applyProtection="1">
      <protection hidden="1"/>
    </xf>
    <xf numFmtId="0" fontId="0" fillId="0" borderId="0" xfId="0" applyBorder="1" applyAlignment="1" applyProtection="1">
      <protection hidden="1"/>
    </xf>
    <xf numFmtId="0" fontId="39" fillId="0" borderId="0" xfId="0" applyFont="1" applyAlignment="1" applyProtection="1">
      <alignment horizontal="left" vertical="top"/>
      <protection hidden="1"/>
    </xf>
    <xf numFmtId="0" fontId="0" fillId="0" borderId="0" xfId="0" applyAlignment="1" applyProtection="1">
      <alignment horizontal="center" vertical="center"/>
      <protection hidden="1"/>
    </xf>
    <xf numFmtId="0" fontId="40" fillId="0" borderId="0" xfId="0" applyFont="1" applyBorder="1" applyAlignment="1" applyProtection="1">
      <alignment horizontal="left" vertical="top"/>
      <protection hidden="1"/>
    </xf>
    <xf numFmtId="166" fontId="2" fillId="0" borderId="0" xfId="0" applyNumberFormat="1" applyFont="1" applyBorder="1" applyAlignment="1" applyProtection="1">
      <alignment horizontal="center" vertical="center"/>
      <protection hidden="1"/>
    </xf>
    <xf numFmtId="0" fontId="41" fillId="0" borderId="0" xfId="0" applyFont="1" applyBorder="1" applyAlignment="1" applyProtection="1">
      <alignment horizontal="left" vertical="top"/>
      <protection hidden="1"/>
    </xf>
    <xf numFmtId="0" fontId="18" fillId="0" borderId="0" xfId="0" applyNumberFormat="1" applyFont="1" applyBorder="1" applyAlignment="1" applyProtection="1">
      <alignment horizontal="center" vertical="center"/>
      <protection hidden="1"/>
    </xf>
    <xf numFmtId="0" fontId="1" fillId="0" borderId="0" xfId="0" applyFont="1" applyFill="1" applyBorder="1" applyProtection="1">
      <protection hidden="1"/>
    </xf>
    <xf numFmtId="0" fontId="42" fillId="0" borderId="0" xfId="0" applyFont="1" applyBorder="1" applyAlignment="1" applyProtection="1">
      <alignment horizontal="left" vertical="top"/>
      <protection hidden="1"/>
    </xf>
    <xf numFmtId="0" fontId="1" fillId="0" borderId="0" xfId="0" applyFont="1" applyFill="1" applyBorder="1" applyAlignment="1" applyProtection="1">
      <alignment horizontal="center"/>
      <protection hidden="1"/>
    </xf>
    <xf numFmtId="0" fontId="1" fillId="0" borderId="0" xfId="0" applyFont="1" applyFill="1" applyBorder="1" applyAlignment="1" applyProtection="1">
      <alignment vertical="top" wrapText="1"/>
      <protection hidden="1"/>
    </xf>
    <xf numFmtId="0" fontId="3" fillId="0" borderId="0" xfId="0" applyFont="1" applyFill="1" applyBorder="1" applyAlignment="1" applyProtection="1">
      <alignment horizontal="center" vertical="center" wrapText="1"/>
      <protection hidden="1"/>
    </xf>
    <xf numFmtId="3" fontId="2" fillId="0" borderId="0" xfId="0" applyNumberFormat="1" applyFont="1" applyFill="1" applyBorder="1" applyAlignment="1" applyProtection="1">
      <alignment horizontal="center" vertical="center"/>
      <protection hidden="1"/>
    </xf>
    <xf numFmtId="0" fontId="1" fillId="0" borderId="0" xfId="0" applyFont="1" applyFill="1" applyBorder="1" applyAlignment="1" applyProtection="1">
      <alignment horizontal="left" vertical="top" wrapText="1"/>
      <protection hidden="1"/>
    </xf>
    <xf numFmtId="0" fontId="43" fillId="0" borderId="0" xfId="0" applyNumberFormat="1" applyFont="1" applyBorder="1" applyAlignment="1" applyProtection="1">
      <alignment horizontal="left" vertical="top" wrapText="1"/>
      <protection hidden="1"/>
    </xf>
    <xf numFmtId="0" fontId="41" fillId="0" borderId="0" xfId="0" applyFont="1" applyBorder="1" applyAlignment="1" applyProtection="1">
      <alignment horizontal="left" vertical="center"/>
      <protection hidden="1"/>
    </xf>
    <xf numFmtId="0" fontId="1" fillId="0" borderId="0" xfId="0" applyFont="1" applyFill="1" applyBorder="1" applyAlignment="1" applyProtection="1">
      <alignment vertical="top"/>
      <protection hidden="1"/>
    </xf>
    <xf numFmtId="167" fontId="2" fillId="0" borderId="0" xfId="0" applyNumberFormat="1" applyFont="1" applyFill="1" applyBorder="1" applyAlignment="1" applyProtection="1">
      <alignment horizontal="center" vertical="center"/>
      <protection hidden="1"/>
    </xf>
    <xf numFmtId="0" fontId="44" fillId="0" borderId="0" xfId="0" applyFont="1" applyBorder="1" applyAlignment="1" applyProtection="1">
      <alignment horizontal="left" vertical="top"/>
      <protection hidden="1"/>
    </xf>
    <xf numFmtId="0" fontId="0" fillId="0" borderId="0" xfId="0" applyAlignment="1" applyProtection="1">
      <alignment vertical="top"/>
      <protection hidden="1"/>
    </xf>
    <xf numFmtId="0" fontId="0" fillId="0" borderId="0" xfId="0" applyAlignment="1" applyProtection="1">
      <protection hidden="1"/>
    </xf>
    <xf numFmtId="0" fontId="0" fillId="0" borderId="0" xfId="0" applyBorder="1" applyAlignment="1" applyProtection="1">
      <alignment vertical="center" wrapText="1"/>
      <protection hidden="1"/>
    </xf>
    <xf numFmtId="0" fontId="5" fillId="0" borderId="0" xfId="0" applyFont="1" applyBorder="1" applyAlignment="1" applyProtection="1">
      <alignment vertical="top" wrapText="1"/>
      <protection hidden="1"/>
    </xf>
    <xf numFmtId="0" fontId="14" fillId="0" borderId="0" xfId="0" applyFont="1" applyFill="1" applyBorder="1" applyAlignment="1" applyProtection="1">
      <alignment horizontal="center" vertical="center"/>
      <protection hidden="1"/>
    </xf>
    <xf numFmtId="0" fontId="1" fillId="0" borderId="0" xfId="0" applyFont="1" applyFill="1" applyBorder="1" applyAlignment="1" applyProtection="1">
      <alignment horizontal="center" vertical="center"/>
      <protection hidden="1"/>
    </xf>
    <xf numFmtId="1" fontId="3" fillId="0" borderId="0" xfId="0" applyNumberFormat="1" applyFont="1" applyFill="1" applyBorder="1" applyAlignment="1" applyProtection="1">
      <alignment horizontal="center" vertical="center" wrapText="1"/>
      <protection hidden="1"/>
    </xf>
    <xf numFmtId="171" fontId="2" fillId="0" borderId="0" xfId="0" applyNumberFormat="1" applyFont="1" applyFill="1" applyBorder="1" applyAlignment="1" applyProtection="1">
      <alignment horizontal="center" vertical="center"/>
      <protection hidden="1"/>
    </xf>
    <xf numFmtId="10" fontId="2" fillId="0" borderId="0" xfId="0" applyNumberFormat="1" applyFont="1" applyFill="1" applyBorder="1" applyAlignment="1" applyProtection="1">
      <alignment horizontal="center" vertical="center"/>
      <protection hidden="1"/>
    </xf>
    <xf numFmtId="1" fontId="2" fillId="0" borderId="0" xfId="0" applyNumberFormat="1" applyFont="1" applyFill="1" applyBorder="1" applyAlignment="1" applyProtection="1">
      <alignment horizontal="center" vertical="center" wrapText="1"/>
      <protection hidden="1"/>
    </xf>
    <xf numFmtId="0" fontId="3" fillId="0" borderId="0" xfId="0" applyFont="1" applyFill="1" applyBorder="1" applyAlignment="1" applyProtection="1">
      <alignment horizontal="left" vertical="top" wrapText="1"/>
      <protection hidden="1"/>
    </xf>
    <xf numFmtId="0" fontId="3" fillId="0" borderId="0" xfId="0" applyFont="1" applyFill="1" applyBorder="1" applyAlignment="1" applyProtection="1">
      <alignment horizontal="left" vertical="top"/>
      <protection hidden="1"/>
    </xf>
    <xf numFmtId="0" fontId="3" fillId="0" borderId="0" xfId="0" applyFont="1" applyFill="1" applyBorder="1" applyAlignment="1" applyProtection="1">
      <alignment horizontal="left" vertical="center"/>
      <protection hidden="1"/>
    </xf>
    <xf numFmtId="0" fontId="45" fillId="2" borderId="1" xfId="0" applyFont="1" applyFill="1" applyBorder="1" applyAlignment="1" applyProtection="1">
      <alignment horizontal="center" vertical="center" wrapText="1"/>
      <protection hidden="1"/>
    </xf>
    <xf numFmtId="1" fontId="45" fillId="2" borderId="1" xfId="0" applyNumberFormat="1" applyFont="1" applyFill="1" applyBorder="1" applyAlignment="1" applyProtection="1">
      <alignment horizontal="center" vertical="center" wrapText="1"/>
      <protection hidden="1"/>
    </xf>
    <xf numFmtId="0" fontId="45" fillId="0" borderId="0" xfId="0" applyNumberFormat="1" applyFont="1" applyFill="1" applyBorder="1" applyAlignment="1" applyProtection="1">
      <alignment horizontal="center" vertical="center" wrapText="1"/>
      <protection hidden="1"/>
    </xf>
    <xf numFmtId="0" fontId="45" fillId="3" borderId="1" xfId="0" applyFont="1" applyFill="1" applyBorder="1" applyAlignment="1" applyProtection="1">
      <alignment horizontal="center" vertical="center" wrapText="1"/>
      <protection hidden="1"/>
    </xf>
    <xf numFmtId="0" fontId="0" fillId="0" borderId="0" xfId="0" applyFill="1" applyBorder="1" applyProtection="1">
      <protection hidden="1"/>
    </xf>
    <xf numFmtId="0" fontId="45" fillId="3" borderId="2" xfId="0" applyFont="1" applyFill="1" applyBorder="1" applyAlignment="1" applyProtection="1">
      <alignment horizontal="center" vertical="center" wrapText="1"/>
      <protection hidden="1"/>
    </xf>
    <xf numFmtId="1" fontId="2" fillId="0" borderId="0" xfId="0" applyNumberFormat="1" applyFont="1" applyFill="1" applyBorder="1" applyAlignment="1" applyProtection="1">
      <alignment horizontal="center" vertical="center"/>
      <protection hidden="1"/>
    </xf>
    <xf numFmtId="9" fontId="2" fillId="0" borderId="0" xfId="0" applyNumberFormat="1" applyFont="1" applyFill="1" applyBorder="1" applyAlignment="1" applyProtection="1">
      <alignment horizontal="center" vertical="center"/>
      <protection hidden="1"/>
    </xf>
    <xf numFmtId="1" fontId="2" fillId="0" borderId="0" xfId="0" applyNumberFormat="1" applyFont="1" applyFill="1" applyBorder="1" applyAlignment="1" applyProtection="1">
      <alignment horizontal="left" vertical="top"/>
      <protection hidden="1"/>
    </xf>
    <xf numFmtId="1" fontId="2" fillId="0" borderId="3" xfId="0" applyNumberFormat="1" applyFont="1" applyFill="1" applyBorder="1" applyAlignment="1" applyProtection="1">
      <alignment horizontal="center" vertical="center"/>
      <protection hidden="1"/>
    </xf>
    <xf numFmtId="1" fontId="2" fillId="0" borderId="4" xfId="0" applyNumberFormat="1" applyFont="1" applyFill="1" applyBorder="1" applyAlignment="1" applyProtection="1">
      <alignment horizontal="center" vertical="center"/>
      <protection hidden="1"/>
    </xf>
    <xf numFmtId="0" fontId="2" fillId="0" borderId="0" xfId="0" applyNumberFormat="1" applyFont="1" applyFill="1" applyBorder="1" applyAlignment="1" applyProtection="1">
      <alignment horizontal="center" vertical="center"/>
      <protection hidden="1"/>
    </xf>
    <xf numFmtId="0" fontId="5" fillId="0" borderId="0" xfId="0" applyFont="1" applyFill="1" applyBorder="1" applyAlignment="1" applyProtection="1">
      <alignment vertical="center" wrapText="1"/>
      <protection hidden="1"/>
    </xf>
    <xf numFmtId="0" fontId="3" fillId="0" borderId="0" xfId="0" applyNumberFormat="1" applyFont="1" applyFill="1" applyBorder="1" applyAlignment="1" applyProtection="1">
      <alignment horizontal="center" vertical="center" wrapText="1"/>
      <protection hidden="1"/>
    </xf>
    <xf numFmtId="0" fontId="14" fillId="0" borderId="0" xfId="0" applyFont="1" applyAlignment="1" applyProtection="1">
      <alignment horizontal="center" vertical="center"/>
      <protection hidden="1"/>
    </xf>
    <xf numFmtId="0" fontId="14" fillId="0" borderId="0" xfId="0" applyFont="1" applyAlignment="1" applyProtection="1">
      <alignment horizontal="left" vertical="top"/>
      <protection hidden="1"/>
    </xf>
    <xf numFmtId="0" fontId="0" fillId="0" borderId="0" xfId="0" applyAlignment="1" applyProtection="1">
      <alignment horizontal="left" vertical="top"/>
      <protection hidden="1"/>
    </xf>
    <xf numFmtId="0" fontId="28" fillId="4" borderId="0" xfId="0" applyFont="1" applyFill="1" applyBorder="1" applyAlignment="1" applyProtection="1">
      <alignment horizontal="left" wrapText="1" indent="1"/>
      <protection hidden="1"/>
    </xf>
    <xf numFmtId="0" fontId="29" fillId="4" borderId="0" xfId="0" applyFont="1" applyFill="1" applyBorder="1" applyAlignment="1" applyProtection="1">
      <alignment horizontal="left" wrapText="1" indent="1"/>
      <protection hidden="1"/>
    </xf>
    <xf numFmtId="0" fontId="29" fillId="5" borderId="0" xfId="0" applyFont="1" applyFill="1" applyBorder="1" applyAlignment="1" applyProtection="1">
      <alignment horizontal="left" vertical="center" wrapText="1" indent="1"/>
      <protection hidden="1"/>
    </xf>
    <xf numFmtId="167" fontId="46" fillId="0" borderId="0" xfId="0" applyNumberFormat="1" applyFont="1" applyBorder="1" applyAlignment="1" applyProtection="1">
      <alignment horizontal="left" vertical="center" indent="1"/>
      <protection hidden="1"/>
    </xf>
    <xf numFmtId="172" fontId="3" fillId="0" borderId="8" xfId="0" applyNumberFormat="1" applyFont="1" applyBorder="1" applyAlignment="1" applyProtection="1">
      <alignment horizontal="left" vertical="center" indent="1"/>
      <protection locked="0" hidden="1"/>
    </xf>
    <xf numFmtId="0" fontId="3" fillId="0" borderId="8" xfId="0" applyNumberFormat="1" applyFont="1" applyFill="1" applyBorder="1" applyAlignment="1" applyProtection="1">
      <alignment horizontal="left" vertical="center" wrapText="1" indent="1"/>
      <protection locked="0" hidden="1"/>
    </xf>
    <xf numFmtId="10" fontId="3" fillId="0" borderId="8" xfId="0" applyNumberFormat="1" applyFont="1" applyBorder="1" applyAlignment="1" applyProtection="1">
      <alignment horizontal="left" vertical="center" indent="1"/>
      <protection locked="0" hidden="1"/>
    </xf>
    <xf numFmtId="1" fontId="2" fillId="0" borderId="5" xfId="0" applyNumberFormat="1" applyFont="1" applyBorder="1" applyAlignment="1" applyProtection="1">
      <alignment horizontal="center" vertical="center"/>
      <protection locked="0" hidden="1"/>
    </xf>
    <xf numFmtId="1" fontId="2" fillId="0" borderId="6" xfId="0" applyNumberFormat="1" applyFont="1" applyBorder="1" applyAlignment="1" applyProtection="1">
      <alignment horizontal="center" vertical="center"/>
      <protection locked="0" hidden="1"/>
    </xf>
    <xf numFmtId="1" fontId="2" fillId="0" borderId="7" xfId="0" applyNumberFormat="1" applyFont="1" applyBorder="1" applyAlignment="1" applyProtection="1">
      <alignment horizontal="center" vertical="center"/>
      <protection locked="0" hidden="1"/>
    </xf>
    <xf numFmtId="0" fontId="2" fillId="0" borderId="6" xfId="0" applyNumberFormat="1" applyFont="1" applyBorder="1" applyAlignment="1" applyProtection="1">
      <alignment horizontal="center" vertical="center"/>
      <protection locked="0" hidden="1"/>
    </xf>
    <xf numFmtId="0" fontId="2" fillId="0" borderId="7" xfId="0" applyNumberFormat="1" applyFont="1" applyBorder="1" applyAlignment="1" applyProtection="1">
      <alignment horizontal="center" vertical="center"/>
      <protection locked="0" hidden="1"/>
    </xf>
    <xf numFmtId="0" fontId="38" fillId="0" borderId="0" xfId="1" applyFont="1" applyBorder="1" applyAlignment="1" applyProtection="1">
      <alignment horizontal="left" vertical="top"/>
      <protection hidden="1"/>
    </xf>
    <xf numFmtId="0" fontId="0" fillId="0" borderId="0" xfId="0" applyBorder="1" applyAlignment="1" applyProtection="1">
      <alignment horizontal="center" vertical="center"/>
      <protection hidden="1"/>
    </xf>
    <xf numFmtId="0" fontId="47" fillId="0" borderId="0" xfId="0" applyFont="1" applyBorder="1" applyAlignment="1" applyProtection="1">
      <alignment horizontal="left" vertical="top"/>
      <protection hidden="1"/>
    </xf>
    <xf numFmtId="0" fontId="48" fillId="0" borderId="0" xfId="1" applyFont="1" applyBorder="1" applyAlignment="1" applyProtection="1">
      <alignment horizontal="left" vertical="top"/>
      <protection hidden="1"/>
    </xf>
    <xf numFmtId="0" fontId="31" fillId="6" borderId="0" xfId="0" applyFont="1" applyFill="1" applyBorder="1" applyAlignment="1" applyProtection="1">
      <alignment horizontal="left" wrapText="1" indent="1"/>
      <protection hidden="1"/>
    </xf>
    <xf numFmtId="0" fontId="29" fillId="6" borderId="0" xfId="0" applyFont="1" applyFill="1" applyBorder="1" applyAlignment="1" applyProtection="1">
      <alignment horizontal="left" wrapText="1" indent="1"/>
      <protection hidden="1"/>
    </xf>
    <xf numFmtId="0" fontId="31" fillId="5" borderId="0" xfId="0" applyFont="1" applyFill="1" applyBorder="1" applyAlignment="1" applyProtection="1">
      <alignment horizontal="left" vertical="center" wrapText="1" indent="1"/>
      <protection hidden="1"/>
    </xf>
    <xf numFmtId="2" fontId="49" fillId="0" borderId="0" xfId="0" applyNumberFormat="1" applyFont="1" applyBorder="1" applyAlignment="1" applyProtection="1">
      <alignment horizontal="left" vertical="center" indent="1"/>
      <protection hidden="1"/>
    </xf>
    <xf numFmtId="168" fontId="2" fillId="0" borderId="0" xfId="0" applyNumberFormat="1" applyFont="1" applyBorder="1" applyAlignment="1" applyProtection="1">
      <alignment horizontal="center" vertical="center" wrapText="1"/>
      <protection hidden="1"/>
    </xf>
    <xf numFmtId="167" fontId="50" fillId="0" borderId="0" xfId="0" applyNumberFormat="1" applyFont="1" applyFill="1" applyBorder="1" applyAlignment="1" applyProtection="1">
      <alignment horizontal="left" vertical="center" wrapText="1" indent="1"/>
      <protection hidden="1"/>
    </xf>
    <xf numFmtId="167" fontId="49" fillId="0" borderId="0" xfId="0" applyNumberFormat="1" applyFont="1" applyBorder="1" applyAlignment="1" applyProtection="1">
      <alignment horizontal="left" vertical="center" wrapText="1" indent="1"/>
      <protection hidden="1"/>
    </xf>
    <xf numFmtId="169" fontId="2" fillId="0" borderId="0" xfId="0" applyNumberFormat="1" applyFont="1" applyBorder="1" applyAlignment="1" applyProtection="1">
      <alignment horizontal="center" vertical="center" wrapText="1"/>
      <protection hidden="1"/>
    </xf>
    <xf numFmtId="170" fontId="2" fillId="0" borderId="0" xfId="0" applyNumberFormat="1" applyFont="1" applyBorder="1" applyAlignment="1" applyProtection="1">
      <alignment horizontal="center" vertical="center" wrapText="1"/>
      <protection hidden="1"/>
    </xf>
    <xf numFmtId="167" fontId="2" fillId="0" borderId="0" xfId="0" applyNumberFormat="1" applyFont="1" applyBorder="1" applyAlignment="1" applyProtection="1">
      <alignment horizontal="center" vertical="center" wrapText="1"/>
      <protection hidden="1"/>
    </xf>
    <xf numFmtId="171" fontId="49" fillId="0" borderId="0" xfId="0" applyNumberFormat="1" applyFont="1" applyBorder="1" applyAlignment="1" applyProtection="1">
      <alignment horizontal="left" vertical="center" indent="1"/>
      <protection hidden="1"/>
    </xf>
    <xf numFmtId="2" fontId="2" fillId="0" borderId="0" xfId="0" applyNumberFormat="1" applyFont="1" applyBorder="1" applyAlignment="1" applyProtection="1">
      <alignment horizontal="center" vertical="center" wrapText="1"/>
      <protection hidden="1"/>
    </xf>
    <xf numFmtId="2" fontId="0" fillId="0" borderId="0" xfId="0" applyNumberFormat="1" applyBorder="1" applyAlignment="1" applyProtection="1">
      <alignment horizontal="center" vertical="center" wrapText="1"/>
      <protection hidden="1"/>
    </xf>
    <xf numFmtId="0" fontId="42" fillId="0" borderId="0" xfId="0" applyFont="1" applyFill="1" applyBorder="1" applyAlignment="1" applyProtection="1">
      <alignment horizontal="left" wrapText="1" indent="1"/>
      <protection hidden="1"/>
    </xf>
    <xf numFmtId="0" fontId="48" fillId="0" borderId="0" xfId="1" applyFont="1" applyBorder="1" applyAlignment="1" applyProtection="1">
      <alignment horizontal="left" vertical="center"/>
      <protection hidden="1"/>
    </xf>
    <xf numFmtId="0" fontId="8" fillId="0" borderId="0" xfId="0" applyFont="1" applyBorder="1" applyAlignment="1" applyProtection="1">
      <alignment horizontal="center" vertical="center" wrapText="1"/>
      <protection hidden="1"/>
    </xf>
    <xf numFmtId="167" fontId="49" fillId="0" borderId="0" xfId="0" applyNumberFormat="1" applyFont="1" applyFill="1" applyBorder="1" applyAlignment="1" applyProtection="1">
      <alignment horizontal="left" vertical="center" wrapText="1" indent="1"/>
      <protection hidden="1"/>
    </xf>
    <xf numFmtId="0" fontId="1" fillId="0" borderId="0" xfId="0" applyFont="1" applyBorder="1" applyProtection="1">
      <protection hidden="1"/>
    </xf>
    <xf numFmtId="0" fontId="9" fillId="0" borderId="0" xfId="0" applyFont="1" applyBorder="1" applyAlignment="1" applyProtection="1">
      <alignment horizontal="center" vertical="center"/>
      <protection hidden="1"/>
    </xf>
    <xf numFmtId="0" fontId="45" fillId="0" borderId="0" xfId="0" applyFont="1" applyFill="1" applyBorder="1" applyAlignment="1" applyProtection="1">
      <alignment horizontal="center" vertical="center" wrapText="1"/>
      <protection hidden="1"/>
    </xf>
    <xf numFmtId="0" fontId="38" fillId="0" borderId="0" xfId="0" applyFont="1" applyBorder="1" applyAlignment="1" applyProtection="1">
      <alignment horizontal="left" vertical="center"/>
      <protection hidden="1"/>
    </xf>
    <xf numFmtId="0" fontId="40" fillId="0" borderId="0" xfId="0" applyFont="1" applyBorder="1" applyAlignment="1" applyProtection="1">
      <alignment horizontal="left" vertical="center"/>
      <protection hidden="1"/>
    </xf>
    <xf numFmtId="0" fontId="8" fillId="0" borderId="0" xfId="0" applyFont="1" applyBorder="1" applyAlignment="1" applyProtection="1">
      <alignment horizontal="center" vertical="center"/>
      <protection hidden="1"/>
    </xf>
    <xf numFmtId="0" fontId="32" fillId="6" borderId="0" xfId="0" applyFont="1" applyFill="1" applyBorder="1" applyAlignment="1" applyProtection="1">
      <alignment horizontal="left" wrapText="1" indent="1"/>
      <protection hidden="1"/>
    </xf>
    <xf numFmtId="10" fontId="50" fillId="0" borderId="0" xfId="0" applyNumberFormat="1" applyFont="1" applyBorder="1" applyAlignment="1" applyProtection="1">
      <alignment horizontal="left" vertical="center" wrapText="1" indent="1"/>
      <protection hidden="1"/>
    </xf>
    <xf numFmtId="0" fontId="0" fillId="0" borderId="0" xfId="0" applyBorder="1" applyAlignment="1" applyProtection="1">
      <alignment horizontal="left" vertical="top" wrapText="1"/>
      <protection hidden="1"/>
    </xf>
    <xf numFmtId="10" fontId="0" fillId="0" borderId="0" xfId="0" applyNumberFormat="1" applyBorder="1" applyProtection="1">
      <protection hidden="1"/>
    </xf>
    <xf numFmtId="0" fontId="9" fillId="0" borderId="0" xfId="0" applyFont="1" applyBorder="1" applyAlignment="1" applyProtection="1">
      <protection hidden="1"/>
    </xf>
    <xf numFmtId="3" fontId="50" fillId="0" borderId="0" xfId="0" applyNumberFormat="1" applyFont="1" applyBorder="1" applyAlignment="1" applyProtection="1">
      <alignment horizontal="left" vertical="center" wrapText="1" indent="1"/>
      <protection hidden="1"/>
    </xf>
    <xf numFmtId="0" fontId="0" fillId="0" borderId="0" xfId="0" applyBorder="1" applyAlignment="1" applyProtection="1">
      <alignment vertical="top" wrapText="1"/>
      <protection hidden="1"/>
    </xf>
    <xf numFmtId="167" fontId="50" fillId="0" borderId="0" xfId="0" applyNumberFormat="1" applyFont="1" applyBorder="1" applyAlignment="1" applyProtection="1">
      <alignment horizontal="left" vertical="center" indent="1"/>
      <protection hidden="1"/>
    </xf>
    <xf numFmtId="167" fontId="2" fillId="0" borderId="0" xfId="0" applyNumberFormat="1" applyFont="1" applyBorder="1" applyAlignment="1" applyProtection="1">
      <alignment horizontal="center" vertical="center"/>
      <protection hidden="1"/>
    </xf>
    <xf numFmtId="0" fontId="9" fillId="0" borderId="0" xfId="0" applyFont="1" applyFill="1" applyBorder="1" applyAlignment="1" applyProtection="1">
      <alignment horizontal="center" vertical="center" wrapText="1"/>
      <protection hidden="1"/>
    </xf>
    <xf numFmtId="171" fontId="42" fillId="0" borderId="0" xfId="0" applyNumberFormat="1" applyFont="1" applyBorder="1" applyAlignment="1" applyProtection="1">
      <alignment horizontal="left" vertical="center" wrapText="1" indent="1"/>
      <protection hidden="1"/>
    </xf>
    <xf numFmtId="171" fontId="17" fillId="0" borderId="0" xfId="0" applyNumberFormat="1" applyFont="1" applyBorder="1" applyAlignment="1" applyProtection="1">
      <alignment horizontal="left" vertical="top" wrapText="1"/>
      <protection hidden="1"/>
    </xf>
    <xf numFmtId="167" fontId="11" fillId="0" borderId="0" xfId="0" applyNumberFormat="1" applyFont="1" applyBorder="1" applyAlignment="1" applyProtection="1">
      <alignment horizontal="center" vertical="center" wrapText="1"/>
      <protection hidden="1"/>
    </xf>
    <xf numFmtId="0" fontId="31" fillId="7" borderId="0" xfId="0" applyFont="1" applyFill="1" applyBorder="1" applyAlignment="1" applyProtection="1">
      <alignment horizontal="left" vertical="center" wrapText="1" indent="1"/>
      <protection hidden="1"/>
    </xf>
    <xf numFmtId="164" fontId="11" fillId="0" borderId="0" xfId="0" applyNumberFormat="1" applyFont="1" applyBorder="1" applyAlignment="1" applyProtection="1">
      <alignment horizontal="center" vertical="center"/>
      <protection hidden="1"/>
    </xf>
    <xf numFmtId="167" fontId="11" fillId="0" borderId="0" xfId="0" applyNumberFormat="1" applyFont="1" applyBorder="1" applyAlignment="1" applyProtection="1">
      <alignment horizontal="center" vertical="center"/>
      <protection hidden="1"/>
    </xf>
    <xf numFmtId="0" fontId="4" fillId="0" borderId="0" xfId="0" applyFont="1" applyFill="1" applyBorder="1" applyAlignment="1" applyProtection="1">
      <alignment horizontal="center" vertical="center" wrapText="1"/>
      <protection hidden="1"/>
    </xf>
    <xf numFmtId="171" fontId="10" fillId="0" borderId="0" xfId="0" applyNumberFormat="1" applyFont="1" applyBorder="1" applyAlignment="1" applyProtection="1">
      <alignment horizontal="center" vertical="center" wrapText="1"/>
      <protection hidden="1"/>
    </xf>
    <xf numFmtId="165" fontId="11" fillId="0" borderId="0" xfId="0" applyNumberFormat="1" applyFont="1" applyBorder="1" applyAlignment="1" applyProtection="1">
      <alignment horizontal="center" vertical="center"/>
      <protection hidden="1"/>
    </xf>
    <xf numFmtId="0" fontId="38" fillId="0" borderId="0" xfId="0" applyFont="1" applyBorder="1" applyAlignment="1" applyProtection="1">
      <alignment horizontal="left" vertical="top"/>
      <protection hidden="1"/>
    </xf>
    <xf numFmtId="0" fontId="15" fillId="0" borderId="0" xfId="0" applyFont="1" applyBorder="1" applyAlignment="1" applyProtection="1">
      <alignment horizontal="center" vertical="center"/>
      <protection hidden="1"/>
    </xf>
    <xf numFmtId="0" fontId="2" fillId="0" borderId="0" xfId="0" applyFont="1" applyBorder="1" applyAlignment="1" applyProtection="1">
      <alignment horizontal="center" vertical="center"/>
      <protection hidden="1"/>
    </xf>
    <xf numFmtId="0" fontId="0" fillId="0" borderId="0" xfId="0" applyBorder="1" applyAlignment="1" applyProtection="1">
      <alignment horizontal="center" vertical="center" wrapText="1"/>
      <protection hidden="1"/>
    </xf>
    <xf numFmtId="0" fontId="0" fillId="0" borderId="0" xfId="0" applyBorder="1" applyAlignment="1" applyProtection="1">
      <alignment vertical="justify" wrapText="1"/>
      <protection hidden="1"/>
    </xf>
    <xf numFmtId="2" fontId="50" fillId="0" borderId="0" xfId="0" applyNumberFormat="1" applyFont="1" applyBorder="1" applyAlignment="1" applyProtection="1">
      <alignment horizontal="left" vertical="center" indent="1"/>
      <protection hidden="1"/>
    </xf>
    <xf numFmtId="0" fontId="43" fillId="0" borderId="0" xfId="0" applyFont="1" applyBorder="1" applyAlignment="1" applyProtection="1">
      <alignment horizontal="left" vertical="center" wrapText="1" indent="1"/>
      <protection hidden="1"/>
    </xf>
    <xf numFmtId="171" fontId="50" fillId="0" borderId="0" xfId="0" applyNumberFormat="1" applyFont="1" applyBorder="1" applyAlignment="1" applyProtection="1">
      <alignment horizontal="left" vertical="center" wrapText="1" indent="1"/>
      <protection hidden="1"/>
    </xf>
    <xf numFmtId="171" fontId="0" fillId="0" borderId="0" xfId="0" applyNumberFormat="1" applyBorder="1" applyAlignment="1" applyProtection="1">
      <alignment horizontal="center" vertical="center"/>
      <protection hidden="1"/>
    </xf>
    <xf numFmtId="171" fontId="0" fillId="0" borderId="0" xfId="0" applyNumberFormat="1" applyBorder="1" applyAlignment="1" applyProtection="1">
      <alignment horizontal="center"/>
      <protection hidden="1"/>
    </xf>
    <xf numFmtId="0" fontId="1" fillId="0" borderId="0" xfId="0" applyFont="1" applyFill="1" applyBorder="1" applyAlignment="1" applyProtection="1">
      <alignment horizontal="left" vertical="top"/>
      <protection hidden="1"/>
    </xf>
    <xf numFmtId="0" fontId="41" fillId="0" borderId="0" xfId="0" applyFont="1" applyBorder="1" applyAlignment="1" applyProtection="1">
      <alignment horizontal="left" vertical="top"/>
      <protection hidden="1"/>
    </xf>
    <xf numFmtId="0" fontId="41" fillId="0" borderId="0" xfId="0" applyFont="1" applyBorder="1" applyAlignment="1" applyProtection="1">
      <alignment horizontal="left" vertical="center"/>
      <protection hidden="1"/>
    </xf>
    <xf numFmtId="0" fontId="31" fillId="5" borderId="0" xfId="0" applyFont="1" applyFill="1" applyBorder="1" applyAlignment="1" applyProtection="1">
      <alignment horizontal="left" vertical="center" wrapText="1" indent="1"/>
      <protection hidden="1"/>
    </xf>
    <xf numFmtId="0" fontId="31" fillId="5" borderId="0" xfId="0" applyFont="1" applyFill="1" applyBorder="1" applyAlignment="1" applyProtection="1">
      <alignment horizontal="left" vertical="center" wrapText="1" indent="1"/>
      <protection hidden="1"/>
    </xf>
    <xf numFmtId="172" fontId="3" fillId="0" borderId="8" xfId="0" applyNumberFormat="1" applyFont="1" applyFill="1" applyBorder="1" applyAlignment="1" applyProtection="1">
      <alignment horizontal="left" vertical="center" indent="1"/>
      <protection locked="0" hidden="1"/>
    </xf>
    <xf numFmtId="9" fontId="3" fillId="0" borderId="0" xfId="0" applyNumberFormat="1" applyFont="1" applyBorder="1" applyAlignment="1" applyProtection="1">
      <alignment horizontal="left" vertical="center" wrapText="1" indent="1"/>
      <protection hidden="1"/>
    </xf>
    <xf numFmtId="171" fontId="3" fillId="0" borderId="0" xfId="0" applyNumberFormat="1" applyFont="1" applyBorder="1" applyAlignment="1" applyProtection="1">
      <alignment horizontal="left" vertical="center" wrapText="1" indent="1"/>
      <protection hidden="1"/>
    </xf>
    <xf numFmtId="171" fontId="0" fillId="0" borderId="0" xfId="0" applyNumberFormat="1" applyBorder="1" applyAlignment="1" applyProtection="1">
      <alignment horizontal="left" vertical="top" wrapText="1"/>
      <protection hidden="1"/>
    </xf>
    <xf numFmtId="0" fontId="1" fillId="0" borderId="0" xfId="0" applyFont="1" applyFill="1" applyBorder="1" applyAlignment="1" applyProtection="1">
      <alignment wrapText="1"/>
      <protection hidden="1"/>
    </xf>
    <xf numFmtId="0" fontId="41" fillId="0" borderId="0" xfId="0" applyFont="1" applyBorder="1" applyAlignment="1" applyProtection="1">
      <alignment horizontal="left" vertical="center"/>
      <protection hidden="1"/>
    </xf>
    <xf numFmtId="0" fontId="31" fillId="5" borderId="0" xfId="0" applyFont="1" applyFill="1" applyBorder="1" applyAlignment="1" applyProtection="1">
      <alignment horizontal="left" vertical="center" wrapText="1" indent="1"/>
      <protection hidden="1"/>
    </xf>
    <xf numFmtId="0" fontId="43" fillId="0" borderId="0" xfId="0" applyFont="1" applyBorder="1" applyAlignment="1" applyProtection="1">
      <alignment horizontal="left" vertical="center" wrapText="1" indent="1"/>
      <protection hidden="1"/>
    </xf>
    <xf numFmtId="10" fontId="3" fillId="0" borderId="0" xfId="0" applyNumberFormat="1" applyFont="1" applyFill="1" applyBorder="1" applyAlignment="1" applyProtection="1">
      <alignment horizontal="left" vertical="center" wrapText="1" indent="1"/>
      <protection hidden="1"/>
    </xf>
    <xf numFmtId="10" fontId="1" fillId="0" borderId="0" xfId="0" applyNumberFormat="1" applyFont="1" applyFill="1" applyBorder="1" applyProtection="1">
      <protection hidden="1"/>
    </xf>
    <xf numFmtId="10" fontId="3" fillId="0" borderId="8" xfId="0" applyNumberFormat="1" applyFont="1" applyFill="1" applyBorder="1" applyAlignment="1" applyProtection="1">
      <alignment horizontal="left" vertical="center" wrapText="1" indent="1"/>
      <protection locked="0" hidden="1"/>
    </xf>
    <xf numFmtId="10" fontId="1" fillId="0" borderId="0" xfId="0" applyNumberFormat="1" applyFont="1" applyFill="1" applyBorder="1" applyAlignment="1" applyProtection="1">
      <alignment horizontal="center" vertical="center"/>
      <protection hidden="1"/>
    </xf>
    <xf numFmtId="0" fontId="1" fillId="0" borderId="0" xfId="1" applyBorder="1" applyProtection="1">
      <protection hidden="1"/>
    </xf>
    <xf numFmtId="0" fontId="1" fillId="0" borderId="0" xfId="1" applyBorder="1" applyAlignment="1" applyProtection="1">
      <protection hidden="1"/>
    </xf>
    <xf numFmtId="0" fontId="29" fillId="6" borderId="0" xfId="0" applyFont="1" applyFill="1" applyBorder="1" applyAlignment="1" applyProtection="1">
      <alignment horizontal="left" wrapText="1"/>
      <protection hidden="1"/>
    </xf>
    <xf numFmtId="0" fontId="50" fillId="0" borderId="0" xfId="0" applyFont="1" applyBorder="1" applyAlignment="1" applyProtection="1">
      <alignment horizontal="left" vertical="center" indent="1"/>
      <protection hidden="1"/>
    </xf>
    <xf numFmtId="0" fontId="43" fillId="0" borderId="0" xfId="0" applyFont="1" applyBorder="1" applyAlignment="1" applyProtection="1">
      <alignment horizontal="left" vertical="center" wrapText="1"/>
      <protection hidden="1"/>
    </xf>
    <xf numFmtId="0" fontId="1" fillId="0" borderId="0" xfId="1" applyBorder="1" applyAlignment="1" applyProtection="1">
      <alignment horizontal="center"/>
      <protection hidden="1"/>
    </xf>
    <xf numFmtId="3" fontId="1" fillId="0" borderId="0" xfId="1" applyNumberFormat="1" applyBorder="1" applyAlignment="1" applyProtection="1">
      <alignment horizontal="center"/>
      <protection hidden="1"/>
    </xf>
    <xf numFmtId="0" fontId="45" fillId="2" borderId="2" xfId="0" applyFont="1" applyFill="1" applyBorder="1" applyAlignment="1" applyProtection="1">
      <alignment horizontal="center" vertical="center" wrapText="1"/>
      <protection hidden="1"/>
    </xf>
    <xf numFmtId="0" fontId="2" fillId="0" borderId="5" xfId="0" applyNumberFormat="1" applyFont="1" applyBorder="1" applyAlignment="1" applyProtection="1">
      <alignment horizontal="center" vertical="center"/>
      <protection locked="0" hidden="1"/>
    </xf>
    <xf numFmtId="0" fontId="0" fillId="0" borderId="5" xfId="0" applyBorder="1" applyAlignment="1" applyProtection="1">
      <alignment horizontal="center" vertical="center"/>
      <protection hidden="1"/>
    </xf>
    <xf numFmtId="9" fontId="50" fillId="0" borderId="0" xfId="0" applyNumberFormat="1" applyFont="1" applyBorder="1" applyAlignment="1" applyProtection="1">
      <alignment horizontal="left" vertical="center" indent="1"/>
      <protection hidden="1"/>
    </xf>
    <xf numFmtId="174" fontId="50" fillId="0" borderId="0" xfId="0" applyNumberFormat="1" applyFont="1" applyBorder="1" applyAlignment="1" applyProtection="1">
      <alignment horizontal="left" vertical="center" indent="1"/>
      <protection hidden="1"/>
    </xf>
    <xf numFmtId="9" fontId="3" fillId="0" borderId="8" xfId="0" applyNumberFormat="1" applyFont="1" applyFill="1" applyBorder="1" applyAlignment="1" applyProtection="1">
      <alignment horizontal="left" vertical="center" wrapText="1" indent="1"/>
      <protection locked="0" hidden="1"/>
    </xf>
    <xf numFmtId="9" fontId="5" fillId="0" borderId="0" xfId="0" applyNumberFormat="1" applyFont="1" applyFill="1" applyBorder="1" applyAlignment="1" applyProtection="1">
      <alignment vertical="center" wrapText="1"/>
      <protection hidden="1"/>
    </xf>
    <xf numFmtId="0" fontId="43" fillId="0" borderId="0" xfId="0" applyFont="1" applyBorder="1" applyAlignment="1" applyProtection="1">
      <alignment horizontal="left" vertical="top" wrapText="1" indent="1"/>
      <protection hidden="1"/>
    </xf>
    <xf numFmtId="0" fontId="31" fillId="5" borderId="0" xfId="0" applyFont="1" applyFill="1" applyBorder="1" applyAlignment="1" applyProtection="1">
      <alignment horizontal="left" vertical="center" wrapText="1" indent="1"/>
      <protection hidden="1"/>
    </xf>
    <xf numFmtId="0" fontId="0" fillId="0" borderId="0" xfId="0" applyBorder="1" applyAlignment="1" applyProtection="1">
      <alignment horizontal="left" vertical="top" wrapText="1" indent="1"/>
      <protection hidden="1"/>
    </xf>
    <xf numFmtId="4" fontId="49" fillId="0" borderId="0" xfId="0" applyNumberFormat="1" applyFont="1" applyBorder="1" applyAlignment="1" applyProtection="1">
      <alignment horizontal="left" vertical="center" wrapText="1" indent="1"/>
      <protection hidden="1"/>
    </xf>
    <xf numFmtId="1" fontId="49" fillId="0" borderId="0" xfId="0" applyNumberFormat="1" applyFont="1" applyBorder="1" applyAlignment="1" applyProtection="1">
      <alignment horizontal="left" vertical="center" indent="1"/>
      <protection hidden="1"/>
    </xf>
    <xf numFmtId="2" fontId="3" fillId="0" borderId="0" xfId="0" applyNumberFormat="1" applyFont="1" applyFill="1" applyBorder="1" applyAlignment="1" applyProtection="1">
      <alignment horizontal="center" vertical="center" wrapText="1"/>
      <protection hidden="1"/>
    </xf>
    <xf numFmtId="0" fontId="2" fillId="0" borderId="0" xfId="0" applyFont="1" applyBorder="1" applyProtection="1">
      <protection hidden="1"/>
    </xf>
    <xf numFmtId="0" fontId="40" fillId="0" borderId="0" xfId="1" applyFont="1" applyBorder="1" applyAlignment="1" applyProtection="1">
      <alignment horizontal="left" vertical="center"/>
      <protection hidden="1"/>
    </xf>
    <xf numFmtId="2" fontId="51" fillId="0" borderId="0" xfId="0" applyNumberFormat="1" applyFont="1" applyAlignment="1" applyProtection="1">
      <alignment horizontal="left" vertical="center" indent="1"/>
      <protection hidden="1"/>
    </xf>
    <xf numFmtId="167" fontId="0" fillId="0" borderId="0" xfId="0" applyNumberFormat="1" applyBorder="1" applyProtection="1">
      <protection hidden="1"/>
    </xf>
    <xf numFmtId="174" fontId="49" fillId="0" borderId="0" xfId="0" applyNumberFormat="1" applyFont="1" applyBorder="1" applyAlignment="1" applyProtection="1">
      <alignment horizontal="left" vertical="center" indent="1"/>
      <protection hidden="1"/>
    </xf>
    <xf numFmtId="175" fontId="49" fillId="0" borderId="0" xfId="0" applyNumberFormat="1" applyFont="1" applyBorder="1" applyAlignment="1" applyProtection="1">
      <alignment horizontal="left" vertical="center" wrapText="1" indent="1"/>
      <protection hidden="1"/>
    </xf>
    <xf numFmtId="0" fontId="31" fillId="5" borderId="0" xfId="0" applyFont="1" applyFill="1" applyBorder="1" applyAlignment="1" applyProtection="1">
      <alignment horizontal="left" vertical="center" wrapText="1" indent="1"/>
      <protection hidden="1"/>
    </xf>
    <xf numFmtId="0" fontId="42" fillId="0" borderId="0" xfId="0" applyFont="1" applyFill="1" applyBorder="1" applyAlignment="1" applyProtection="1">
      <alignment horizontal="left" vertical="center" wrapText="1" indent="1"/>
      <protection hidden="1"/>
    </xf>
    <xf numFmtId="173" fontId="52" fillId="0" borderId="0" xfId="0" applyNumberFormat="1" applyFont="1" applyBorder="1" applyAlignment="1" applyProtection="1">
      <alignment horizontal="left" vertical="center" indent="1"/>
      <protection locked="0" hidden="1"/>
    </xf>
    <xf numFmtId="10" fontId="50" fillId="0" borderId="0" xfId="0" applyNumberFormat="1" applyFont="1" applyBorder="1" applyAlignment="1" applyProtection="1">
      <alignment horizontal="left" vertical="center" indent="1"/>
      <protection locked="0" hidden="1"/>
    </xf>
    <xf numFmtId="168" fontId="50" fillId="0" borderId="0" xfId="0" applyNumberFormat="1" applyFont="1" applyBorder="1" applyAlignment="1" applyProtection="1">
      <alignment horizontal="left" vertical="center" indent="1"/>
      <protection hidden="1"/>
    </xf>
    <xf numFmtId="0" fontId="53" fillId="0" borderId="0" xfId="0" applyFont="1" applyAlignment="1" applyProtection="1">
      <alignment horizontal="left"/>
      <protection hidden="1"/>
    </xf>
    <xf numFmtId="0" fontId="19" fillId="0" borderId="0" xfId="0" applyFont="1" applyAlignment="1" applyProtection="1">
      <alignment wrapText="1"/>
      <protection hidden="1"/>
    </xf>
    <xf numFmtId="0" fontId="18" fillId="0" borderId="0" xfId="0" applyFont="1" applyAlignment="1" applyProtection="1">
      <alignment wrapText="1"/>
      <protection hidden="1"/>
    </xf>
    <xf numFmtId="0" fontId="54" fillId="0" borderId="0" xfId="0" applyFont="1" applyAlignment="1" applyProtection="1">
      <alignment horizontal="left" vertical="top" wrapText="1"/>
      <protection hidden="1"/>
    </xf>
    <xf numFmtId="0" fontId="1" fillId="0" borderId="0" xfId="0" applyFont="1" applyFill="1" applyBorder="1" applyAlignment="1" applyProtection="1">
      <alignment horizontal="left" vertical="top" wrapText="1"/>
      <protection hidden="1"/>
    </xf>
    <xf numFmtId="0" fontId="43" fillId="0" borderId="0" xfId="0" applyNumberFormat="1" applyFont="1" applyBorder="1" applyAlignment="1" applyProtection="1">
      <alignment horizontal="left" vertical="top" wrapText="1"/>
      <protection hidden="1"/>
    </xf>
    <xf numFmtId="0" fontId="1" fillId="0" borderId="0" xfId="0" applyFont="1" applyFill="1" applyBorder="1" applyAlignment="1" applyProtection="1">
      <alignment horizontal="left" vertical="center" wrapText="1"/>
      <protection hidden="1"/>
    </xf>
    <xf numFmtId="0" fontId="3" fillId="0" borderId="0" xfId="0" applyNumberFormat="1" applyFont="1" applyBorder="1" applyAlignment="1" applyProtection="1">
      <alignment horizontal="left" vertical="center" wrapText="1"/>
      <protection hidden="1"/>
    </xf>
    <xf numFmtId="0" fontId="45" fillId="3" borderId="6" xfId="0" applyFont="1" applyFill="1" applyBorder="1" applyAlignment="1" applyProtection="1">
      <alignment horizontal="left" vertical="top" wrapText="1"/>
      <protection hidden="1"/>
    </xf>
    <xf numFmtId="0" fontId="45" fillId="3" borderId="2" xfId="0" applyFont="1" applyFill="1" applyBorder="1" applyAlignment="1" applyProtection="1">
      <alignment horizontal="left" vertical="top" wrapText="1"/>
      <protection hidden="1"/>
    </xf>
    <xf numFmtId="0" fontId="41" fillId="0" borderId="0" xfId="0" applyFont="1" applyBorder="1" applyAlignment="1" applyProtection="1">
      <alignment horizontal="left" vertical="center"/>
      <protection hidden="1"/>
    </xf>
    <xf numFmtId="0" fontId="33" fillId="0" borderId="0" xfId="0" applyNumberFormat="1" applyFont="1" applyBorder="1" applyAlignment="1" applyProtection="1">
      <alignment horizontal="left" vertical="top" wrapText="1"/>
      <protection hidden="1"/>
    </xf>
    <xf numFmtId="0" fontId="55" fillId="0" borderId="0" xfId="0" applyFont="1" applyBorder="1" applyAlignment="1" applyProtection="1">
      <alignment horizontal="left" vertical="center" wrapText="1" indent="1"/>
      <protection hidden="1"/>
    </xf>
    <xf numFmtId="0" fontId="31" fillId="5" borderId="0" xfId="0" applyFont="1" applyFill="1" applyBorder="1" applyAlignment="1" applyProtection="1">
      <alignment horizontal="left" vertical="center" wrapText="1" indent="1"/>
      <protection hidden="1"/>
    </xf>
    <xf numFmtId="0" fontId="1" fillId="0" borderId="0" xfId="0" applyNumberFormat="1" applyFont="1" applyBorder="1" applyAlignment="1" applyProtection="1">
      <alignment horizontal="left" vertical="center" wrapText="1"/>
      <protection hidden="1"/>
    </xf>
    <xf numFmtId="0" fontId="0" fillId="0" borderId="0" xfId="0" applyNumberFormat="1" applyAlignment="1">
      <alignment horizontal="left" vertical="center" wrapText="1"/>
    </xf>
    <xf numFmtId="0" fontId="0" fillId="0" borderId="0" xfId="0" applyAlignment="1">
      <alignment horizontal="left" vertical="center" wrapText="1"/>
    </xf>
    <xf numFmtId="0" fontId="31" fillId="6" borderId="0" xfId="0" applyFont="1" applyFill="1" applyBorder="1" applyAlignment="1" applyProtection="1">
      <alignment horizontal="left" wrapText="1"/>
      <protection hidden="1"/>
    </xf>
    <xf numFmtId="0" fontId="0" fillId="0" borderId="0" xfId="0" applyAlignment="1" applyProtection="1">
      <alignment wrapText="1"/>
      <protection hidden="1"/>
    </xf>
    <xf numFmtId="0" fontId="42" fillId="0" borderId="0" xfId="0" applyFont="1" applyFill="1" applyBorder="1" applyAlignment="1" applyProtection="1">
      <alignment horizontal="left" wrapText="1"/>
      <protection hidden="1"/>
    </xf>
    <xf numFmtId="171" fontId="43" fillId="0" borderId="0" xfId="0" applyNumberFormat="1" applyFont="1" applyAlignment="1" applyProtection="1">
      <alignment horizontal="left" vertical="center" wrapText="1" indent="1"/>
      <protection hidden="1"/>
    </xf>
    <xf numFmtId="0" fontId="43" fillId="0" borderId="0" xfId="0" applyFont="1" applyAlignment="1" applyProtection="1">
      <alignment horizontal="left" vertical="center" wrapText="1" indent="1"/>
      <protection hidden="1"/>
    </xf>
    <xf numFmtId="0" fontId="1" fillId="0" borderId="0" xfId="0" applyFont="1" applyBorder="1" applyAlignment="1" applyProtection="1">
      <alignment horizontal="left" vertical="center" wrapText="1"/>
      <protection hidden="1"/>
    </xf>
    <xf numFmtId="0" fontId="0" fillId="0" borderId="0" xfId="0" applyBorder="1" applyAlignment="1" applyProtection="1">
      <alignment horizontal="left" vertical="center" wrapText="1"/>
      <protection hidden="1"/>
    </xf>
    <xf numFmtId="0" fontId="1" fillId="0" borderId="0" xfId="0" applyFont="1" applyBorder="1" applyAlignment="1" applyProtection="1">
      <alignment horizontal="left" vertical="top" wrapText="1" indent="1"/>
      <protection hidden="1"/>
    </xf>
    <xf numFmtId="0" fontId="0" fillId="0" borderId="0" xfId="0" applyBorder="1" applyAlignment="1" applyProtection="1">
      <alignment horizontal="left" vertical="top" wrapText="1" indent="1"/>
      <protection hidden="1"/>
    </xf>
    <xf numFmtId="0" fontId="43" fillId="0" borderId="0" xfId="0" applyFont="1" applyBorder="1" applyAlignment="1" applyProtection="1">
      <alignment horizontal="left" vertical="center" wrapText="1" indent="1"/>
      <protection hidden="1"/>
    </xf>
    <xf numFmtId="0" fontId="0" fillId="0" borderId="0" xfId="0" applyAlignment="1">
      <alignment horizontal="left" vertical="center" wrapText="1" indent="1"/>
    </xf>
    <xf numFmtId="0" fontId="56" fillId="0" borderId="0" xfId="0" applyFont="1" applyFill="1" applyBorder="1" applyAlignment="1" applyProtection="1">
      <alignment horizontal="left" wrapText="1"/>
      <protection hidden="1"/>
    </xf>
    <xf numFmtId="0" fontId="1" fillId="0" borderId="0" xfId="0" applyFont="1" applyBorder="1" applyAlignment="1" applyProtection="1">
      <alignment horizontal="left" vertical="center" wrapText="1" indent="1"/>
      <protection hidden="1"/>
    </xf>
    <xf numFmtId="0" fontId="0" fillId="0" borderId="0" xfId="0" applyBorder="1" applyAlignment="1" applyProtection="1">
      <alignment horizontal="left" vertical="center" wrapText="1" indent="1"/>
      <protection hidden="1"/>
    </xf>
    <xf numFmtId="0" fontId="43" fillId="0" borderId="0" xfId="0" applyFont="1" applyBorder="1" applyAlignment="1" applyProtection="1">
      <alignment horizontal="left" vertical="top" wrapText="1" indent="1"/>
      <protection hidden="1"/>
    </xf>
    <xf numFmtId="0" fontId="57" fillId="0" borderId="0" xfId="0" applyFont="1" applyBorder="1" applyAlignment="1" applyProtection="1">
      <alignment horizontal="left" vertical="top" wrapText="1" indent="1"/>
      <protection hidden="1"/>
    </xf>
    <xf numFmtId="0" fontId="43" fillId="0" borderId="0" xfId="0" applyFont="1" applyBorder="1" applyAlignment="1" applyProtection="1">
      <alignment horizontal="left" vertical="center" wrapText="1"/>
      <protection hidden="1"/>
    </xf>
    <xf numFmtId="0" fontId="0" fillId="0" borderId="0" xfId="0" applyAlignment="1">
      <alignment wrapText="1"/>
    </xf>
    <xf numFmtId="0" fontId="1" fillId="0" borderId="0" xfId="1" applyFont="1" applyBorder="1" applyAlignment="1" applyProtection="1">
      <alignment vertical="top" wrapText="1"/>
      <protection hidden="1"/>
    </xf>
    <xf numFmtId="0" fontId="0" fillId="0" borderId="0" xfId="0" applyAlignment="1">
      <alignment vertical="top" wrapText="1"/>
    </xf>
    <xf numFmtId="0" fontId="1" fillId="0" borderId="0" xfId="0" applyFont="1" applyBorder="1" applyAlignment="1" applyProtection="1">
      <alignment vertical="top" wrapText="1"/>
      <protection hidden="1"/>
    </xf>
    <xf numFmtId="174" fontId="58" fillId="0" borderId="0" xfId="0" applyNumberFormat="1" applyFont="1" applyBorder="1" applyAlignment="1" applyProtection="1">
      <alignment horizontal="left" vertical="top" wrapText="1"/>
      <protection hidden="1"/>
    </xf>
    <xf numFmtId="0" fontId="0" fillId="0" borderId="0" xfId="0" applyAlignment="1">
      <alignment horizontal="left"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Spin" dx="16" fmlaLink="$B$40" max="10" min="1" page="10" val="5"/>
</file>

<file path=xl/ctrlProps/ctrlProp15.xml><?xml version="1.0" encoding="utf-8"?>
<formControlPr xmlns="http://schemas.microsoft.com/office/spreadsheetml/2009/9/main" objectType="Spin" dx="16" fmlaLink="#REF!" max="10" min="1" page="10" val="3"/>
</file>

<file path=xl/ctrlProps/ctrlProp16.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firstButton="1" fmlaLink="$B$69"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B$75"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17</xdr:row>
      <xdr:rowOff>161925</xdr:rowOff>
    </xdr:from>
    <xdr:to>
      <xdr:col>10</xdr:col>
      <xdr:colOff>9525</xdr:colOff>
      <xdr:row>17</xdr:row>
      <xdr:rowOff>676275</xdr:rowOff>
    </xdr:to>
    <xdr:pic>
      <xdr:nvPicPr>
        <xdr:cNvPr id="3157" name="Picture 1">
          <a:extLst>
            <a:ext uri="{FF2B5EF4-FFF2-40B4-BE49-F238E27FC236}">
              <a16:creationId xmlns:a16="http://schemas.microsoft.com/office/drawing/2014/main" id="{00000000-0008-0000-0000-000055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71950" y="4067175"/>
          <a:ext cx="24479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9525</xdr:colOff>
      <xdr:row>17</xdr:row>
      <xdr:rowOff>219075</xdr:rowOff>
    </xdr:from>
    <xdr:to>
      <xdr:col>12</xdr:col>
      <xdr:colOff>600075</xdr:colOff>
      <xdr:row>17</xdr:row>
      <xdr:rowOff>628650</xdr:rowOff>
    </xdr:to>
    <xdr:pic>
      <xdr:nvPicPr>
        <xdr:cNvPr id="3158" name="Picture 5" descr="NSMC logo CMKY FINAL.jpg">
          <a:extLst>
            <a:ext uri="{FF2B5EF4-FFF2-40B4-BE49-F238E27FC236}">
              <a16:creationId xmlns:a16="http://schemas.microsoft.com/office/drawing/2014/main" id="{00000000-0008-0000-0000-0000560C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29475" y="4124325"/>
          <a:ext cx="12001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428625</xdr:colOff>
      <xdr:row>6</xdr:row>
      <xdr:rowOff>0</xdr:rowOff>
    </xdr:from>
    <xdr:to>
      <xdr:col>12</xdr:col>
      <xdr:colOff>600075</xdr:colOff>
      <xdr:row>16</xdr:row>
      <xdr:rowOff>0</xdr:rowOff>
    </xdr:to>
    <xdr:pic>
      <xdr:nvPicPr>
        <xdr:cNvPr id="3159" name="Picture 6" descr="Fotolia_16726315_M.jpg">
          <a:extLst>
            <a:ext uri="{FF2B5EF4-FFF2-40B4-BE49-F238E27FC236}">
              <a16:creationId xmlns:a16="http://schemas.microsoft.com/office/drawing/2014/main" id="{00000000-0008-0000-0000-0000570C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t="23512" b="27429"/>
        <a:stretch>
          <a:fillRect/>
        </a:stretch>
      </xdr:blipFill>
      <xdr:spPr bwMode="auto">
        <a:xfrm>
          <a:off x="5210175" y="1466850"/>
          <a:ext cx="3219450" cy="2371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95250</xdr:colOff>
      <xdr:row>0</xdr:row>
      <xdr:rowOff>123825</xdr:rowOff>
    </xdr:from>
    <xdr:to>
      <xdr:col>8</xdr:col>
      <xdr:colOff>180975</xdr:colOff>
      <xdr:row>2</xdr:row>
      <xdr:rowOff>123825</xdr:rowOff>
    </xdr:to>
    <xdr:pic>
      <xdr:nvPicPr>
        <xdr:cNvPr id="1071" name="Picture 1">
          <a:extLst>
            <a:ext uri="{FF2B5EF4-FFF2-40B4-BE49-F238E27FC236}">
              <a16:creationId xmlns:a16="http://schemas.microsoft.com/office/drawing/2014/main" id="{00000000-0008-0000-0100-00002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48550" y="123825"/>
          <a:ext cx="24003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absolute">
        <xdr:from>
          <xdr:col>0</xdr:col>
          <xdr:colOff>485775</xdr:colOff>
          <xdr:row>65</xdr:row>
          <xdr:rowOff>228600</xdr:rowOff>
        </xdr:from>
        <xdr:to>
          <xdr:col>4</xdr:col>
          <xdr:colOff>1266825</xdr:colOff>
          <xdr:row>65</xdr:row>
          <xdr:rowOff>685800</xdr:rowOff>
        </xdr:to>
        <xdr:sp macro="" textlink="">
          <xdr:nvSpPr>
            <xdr:cNvPr id="1025" name="Group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495300</xdr:colOff>
          <xdr:row>65</xdr:row>
          <xdr:rowOff>314325</xdr:rowOff>
        </xdr:from>
        <xdr:to>
          <xdr:col>2</xdr:col>
          <xdr:colOff>95250</xdr:colOff>
          <xdr:row>65</xdr:row>
          <xdr:rowOff>590550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Intervention Case 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xdr:col>
          <xdr:colOff>95250</xdr:colOff>
          <xdr:row>65</xdr:row>
          <xdr:rowOff>323850</xdr:rowOff>
        </xdr:from>
        <xdr:to>
          <xdr:col>2</xdr:col>
          <xdr:colOff>1247775</xdr:colOff>
          <xdr:row>65</xdr:row>
          <xdr:rowOff>581025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Intervention Case 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xdr:col>
          <xdr:colOff>1362075</xdr:colOff>
          <xdr:row>65</xdr:row>
          <xdr:rowOff>361950</xdr:rowOff>
        </xdr:from>
        <xdr:to>
          <xdr:col>3</xdr:col>
          <xdr:colOff>1095375</xdr:colOff>
          <xdr:row>65</xdr:row>
          <xdr:rowOff>581025</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Intervention Case 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1362075</xdr:colOff>
          <xdr:row>65</xdr:row>
          <xdr:rowOff>323850</xdr:rowOff>
        </xdr:from>
        <xdr:to>
          <xdr:col>4</xdr:col>
          <xdr:colOff>1076325</xdr:colOff>
          <xdr:row>65</xdr:row>
          <xdr:rowOff>600075</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Intervention Case 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71</xdr:row>
          <xdr:rowOff>0</xdr:rowOff>
        </xdr:from>
        <xdr:to>
          <xdr:col>5</xdr:col>
          <xdr:colOff>438150</xdr:colOff>
          <xdr:row>72</xdr:row>
          <xdr:rowOff>0</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71</xdr:row>
          <xdr:rowOff>95250</xdr:rowOff>
        </xdr:from>
        <xdr:to>
          <xdr:col>2</xdr:col>
          <xdr:colOff>152400</xdr:colOff>
          <xdr:row>71</xdr:row>
          <xdr:rowOff>400050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2007-08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71</xdr:row>
          <xdr:rowOff>142875</xdr:rowOff>
        </xdr:from>
        <xdr:to>
          <xdr:col>2</xdr:col>
          <xdr:colOff>723900</xdr:colOff>
          <xdr:row>71</xdr:row>
          <xdr:rowOff>352425</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2008-09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542925</xdr:colOff>
          <xdr:row>71</xdr:row>
          <xdr:rowOff>133350</xdr:rowOff>
        </xdr:from>
        <xdr:to>
          <xdr:col>3</xdr:col>
          <xdr:colOff>114300</xdr:colOff>
          <xdr:row>71</xdr:row>
          <xdr:rowOff>342900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2014-15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1181100</xdr:colOff>
          <xdr:row>71</xdr:row>
          <xdr:rowOff>133350</xdr:rowOff>
        </xdr:from>
        <xdr:to>
          <xdr:col>3</xdr:col>
          <xdr:colOff>752475</xdr:colOff>
          <xdr:row>71</xdr:row>
          <xdr:rowOff>342900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2015-16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71</xdr:row>
          <xdr:rowOff>133350</xdr:rowOff>
        </xdr:from>
        <xdr:to>
          <xdr:col>3</xdr:col>
          <xdr:colOff>1390650</xdr:colOff>
          <xdr:row>71</xdr:row>
          <xdr:rowOff>342900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2016-117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1038225</xdr:colOff>
          <xdr:row>71</xdr:row>
          <xdr:rowOff>133350</xdr:rowOff>
        </xdr:from>
        <xdr:to>
          <xdr:col>4</xdr:col>
          <xdr:colOff>609600</xdr:colOff>
          <xdr:row>71</xdr:row>
          <xdr:rowOff>342900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2017-18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71</xdr:row>
          <xdr:rowOff>123825</xdr:rowOff>
        </xdr:from>
        <xdr:to>
          <xdr:col>4</xdr:col>
          <xdr:colOff>981075</xdr:colOff>
          <xdr:row>71</xdr:row>
          <xdr:rowOff>352425</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2018-19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39</xdr:row>
          <xdr:rowOff>0</xdr:rowOff>
        </xdr:from>
        <xdr:to>
          <xdr:col>2</xdr:col>
          <xdr:colOff>361950</xdr:colOff>
          <xdr:row>40</xdr:row>
          <xdr:rowOff>0</xdr:rowOff>
        </xdr:to>
        <xdr:sp macro="" textlink="">
          <xdr:nvSpPr>
            <xdr:cNvPr id="1039" name="Spinner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xdr:colOff>
          <xdr:row>41</xdr:row>
          <xdr:rowOff>0</xdr:rowOff>
        </xdr:from>
        <xdr:to>
          <xdr:col>2</xdr:col>
          <xdr:colOff>361950</xdr:colOff>
          <xdr:row>41</xdr:row>
          <xdr:rowOff>0</xdr:rowOff>
        </xdr:to>
        <xdr:sp macro="" textlink="">
          <xdr:nvSpPr>
            <xdr:cNvPr id="1040" name="Spinner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1066800</xdr:colOff>
          <xdr:row>71</xdr:row>
          <xdr:rowOff>114300</xdr:rowOff>
        </xdr:from>
        <xdr:to>
          <xdr:col>5</xdr:col>
          <xdr:colOff>371475</xdr:colOff>
          <xdr:row>71</xdr:row>
          <xdr:rowOff>342900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2019-20</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5</xdr:col>
      <xdr:colOff>1895475</xdr:colOff>
      <xdr:row>0</xdr:row>
      <xdr:rowOff>38100</xdr:rowOff>
    </xdr:from>
    <xdr:to>
      <xdr:col>8</xdr:col>
      <xdr:colOff>47625</xdr:colOff>
      <xdr:row>2</xdr:row>
      <xdr:rowOff>0</xdr:rowOff>
    </xdr:to>
    <xdr:pic>
      <xdr:nvPicPr>
        <xdr:cNvPr id="4125" name="Picture 1">
          <a:extLst>
            <a:ext uri="{FF2B5EF4-FFF2-40B4-BE49-F238E27FC236}">
              <a16:creationId xmlns:a16="http://schemas.microsoft.com/office/drawing/2014/main" id="{00000000-0008-0000-0200-00001D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91650" y="38100"/>
          <a:ext cx="24384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7</xdr:col>
      <xdr:colOff>371475</xdr:colOff>
      <xdr:row>2</xdr:row>
      <xdr:rowOff>47625</xdr:rowOff>
    </xdr:to>
    <xdr:pic>
      <xdr:nvPicPr>
        <xdr:cNvPr id="5149" name="Picture 1">
          <a:extLst>
            <a:ext uri="{FF2B5EF4-FFF2-40B4-BE49-F238E27FC236}">
              <a16:creationId xmlns:a16="http://schemas.microsoft.com/office/drawing/2014/main" id="{00000000-0008-0000-0300-00001D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05550" y="295275"/>
          <a:ext cx="24193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1314450</xdr:colOff>
      <xdr:row>0</xdr:row>
      <xdr:rowOff>85725</xdr:rowOff>
    </xdr:from>
    <xdr:to>
      <xdr:col>7</xdr:col>
      <xdr:colOff>904875</xdr:colOff>
      <xdr:row>1</xdr:row>
      <xdr:rowOff>304800</xdr:rowOff>
    </xdr:to>
    <xdr:pic>
      <xdr:nvPicPr>
        <xdr:cNvPr id="6173" name="Picture 1">
          <a:extLst>
            <a:ext uri="{FF2B5EF4-FFF2-40B4-BE49-F238E27FC236}">
              <a16:creationId xmlns:a16="http://schemas.microsoft.com/office/drawing/2014/main" id="{00000000-0008-0000-0400-00001D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4825" y="85725"/>
          <a:ext cx="24193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0</xdr:row>
      <xdr:rowOff>95250</xdr:rowOff>
    </xdr:from>
    <xdr:to>
      <xdr:col>6</xdr:col>
      <xdr:colOff>704850</xdr:colOff>
      <xdr:row>3</xdr:row>
      <xdr:rowOff>19050</xdr:rowOff>
    </xdr:to>
    <xdr:pic>
      <xdr:nvPicPr>
        <xdr:cNvPr id="7197" name="Picture 1">
          <a:extLst>
            <a:ext uri="{FF2B5EF4-FFF2-40B4-BE49-F238E27FC236}">
              <a16:creationId xmlns:a16="http://schemas.microsoft.com/office/drawing/2014/main" id="{00000000-0008-0000-0500-00001D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8600" y="95250"/>
          <a:ext cx="24193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9</xdr:col>
      <xdr:colOff>352425</xdr:colOff>
      <xdr:row>2</xdr:row>
      <xdr:rowOff>0</xdr:rowOff>
    </xdr:to>
    <xdr:pic>
      <xdr:nvPicPr>
        <xdr:cNvPr id="2077" name="Picture 2">
          <a:extLst>
            <a:ext uri="{FF2B5EF4-FFF2-40B4-BE49-F238E27FC236}">
              <a16:creationId xmlns:a16="http://schemas.microsoft.com/office/drawing/2014/main" id="{00000000-0008-0000-0600-00001D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19900" y="161925"/>
          <a:ext cx="24193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T31"/>
  <sheetViews>
    <sheetView showGridLines="0" showRowColHeaders="0" topLeftCell="A4" zoomScaleNormal="100" workbookViewId="0">
      <selection activeCell="G22" sqref="G22"/>
    </sheetView>
  </sheetViews>
  <sheetFormatPr defaultRowHeight="12.75" x14ac:dyDescent="0.2"/>
  <cols>
    <col min="1" max="1" width="3.42578125" style="1" customWidth="1"/>
    <col min="2" max="2" width="26.85546875" style="1" customWidth="1"/>
    <col min="3" max="3" width="3.85546875" style="1" customWidth="1"/>
    <col min="4" max="4" width="9.140625" style="1"/>
    <col min="5" max="5" width="10.140625" style="1" customWidth="1"/>
    <col min="6" max="17" width="9.140625" style="1"/>
    <col min="18" max="18" width="6" style="1" customWidth="1"/>
    <col min="19" max="19" width="0.140625" style="1" customWidth="1"/>
    <col min="20" max="20" width="2.28515625" style="1" hidden="1" customWidth="1"/>
    <col min="21" max="21" width="3.140625" style="1" customWidth="1"/>
    <col min="22" max="16384" width="9.140625" style="1"/>
  </cols>
  <sheetData>
    <row r="1" spans="1:18" ht="6.75" customHeight="1" x14ac:dyDescent="0.2"/>
    <row r="3" spans="1:18" ht="4.5" customHeight="1" x14ac:dyDescent="0.2"/>
    <row r="4" spans="1:18" ht="49.5" customHeight="1" x14ac:dyDescent="0.8">
      <c r="A4" s="2"/>
      <c r="B4" s="3" t="s">
        <v>5</v>
      </c>
      <c r="D4" s="4"/>
      <c r="P4" s="5"/>
    </row>
    <row r="5" spans="1:18" ht="33.75" customHeight="1" x14ac:dyDescent="0.35">
      <c r="A5" s="2"/>
      <c r="B5" s="183" t="s">
        <v>77</v>
      </c>
      <c r="C5" s="183"/>
      <c r="D5" s="183"/>
      <c r="E5" s="183"/>
      <c r="F5" s="183"/>
      <c r="G5" s="183"/>
      <c r="H5" s="183"/>
      <c r="I5" s="183"/>
      <c r="J5" s="183"/>
      <c r="K5" s="183"/>
      <c r="L5" s="183"/>
    </row>
    <row r="6" spans="1:18" ht="8.25" customHeight="1" x14ac:dyDescent="0.2">
      <c r="A6" s="2"/>
    </row>
    <row r="7" spans="1:18" ht="3" hidden="1" customHeight="1" x14ac:dyDescent="0.2">
      <c r="A7" s="2"/>
    </row>
    <row r="8" spans="1:18" ht="75.75" customHeight="1" x14ac:dyDescent="0.25">
      <c r="A8" s="2"/>
      <c r="B8" s="184" t="s">
        <v>147</v>
      </c>
      <c r="C8" s="184"/>
      <c r="D8" s="184"/>
      <c r="E8" s="184"/>
      <c r="F8" s="6"/>
      <c r="G8" s="6"/>
      <c r="H8" s="6"/>
      <c r="I8" s="6"/>
      <c r="J8" s="6"/>
      <c r="K8" s="6"/>
      <c r="L8" s="6"/>
      <c r="M8" s="6"/>
      <c r="N8" s="6"/>
      <c r="O8" s="6"/>
      <c r="P8" s="6"/>
      <c r="Q8" s="6"/>
      <c r="R8" s="6"/>
    </row>
    <row r="9" spans="1:18" ht="6.75" customHeight="1" x14ac:dyDescent="0.2">
      <c r="A9" s="2"/>
      <c r="B9" s="7"/>
      <c r="C9" s="8"/>
      <c r="D9" s="8"/>
      <c r="E9" s="8"/>
      <c r="F9" s="6"/>
      <c r="G9" s="6"/>
      <c r="H9" s="6"/>
      <c r="I9" s="6"/>
      <c r="J9" s="6"/>
      <c r="K9" s="6"/>
      <c r="L9" s="6"/>
      <c r="M9" s="6"/>
      <c r="N9" s="6"/>
      <c r="O9" s="6"/>
      <c r="P9" s="6"/>
      <c r="Q9" s="6"/>
      <c r="R9" s="9"/>
    </row>
    <row r="10" spans="1:18" ht="15.75" hidden="1" customHeight="1" x14ac:dyDescent="0.2">
      <c r="A10" s="2"/>
      <c r="B10" s="7"/>
      <c r="C10" s="10"/>
      <c r="D10" s="11"/>
      <c r="E10" s="11"/>
      <c r="F10" s="12"/>
      <c r="G10" s="12"/>
      <c r="H10" s="12"/>
      <c r="I10" s="12"/>
      <c r="J10" s="12"/>
      <c r="K10" s="12"/>
      <c r="L10" s="12"/>
      <c r="M10" s="12"/>
      <c r="N10" s="12"/>
      <c r="O10" s="13"/>
      <c r="P10" s="13"/>
      <c r="Q10" s="13"/>
    </row>
    <row r="11" spans="1:18" ht="12.75" hidden="1" customHeight="1" x14ac:dyDescent="0.2">
      <c r="A11" s="2"/>
      <c r="B11" s="7"/>
      <c r="C11" s="14"/>
      <c r="D11" s="14"/>
      <c r="E11" s="14"/>
      <c r="F11" s="13"/>
      <c r="G11" s="13"/>
      <c r="H11" s="13"/>
      <c r="I11" s="13"/>
      <c r="J11" s="13"/>
      <c r="K11" s="13"/>
      <c r="L11" s="13"/>
      <c r="M11" s="13"/>
      <c r="N11" s="13"/>
      <c r="O11" s="13"/>
      <c r="P11" s="13"/>
      <c r="Q11" s="13"/>
    </row>
    <row r="12" spans="1:18" ht="15.75" hidden="1" customHeight="1" x14ac:dyDescent="0.2">
      <c r="A12" s="2"/>
      <c r="B12" s="7"/>
      <c r="C12" s="10"/>
      <c r="D12" s="14"/>
      <c r="E12" s="14"/>
      <c r="F12" s="13"/>
      <c r="G12" s="13"/>
      <c r="H12" s="13"/>
      <c r="I12" s="13"/>
      <c r="J12" s="13"/>
      <c r="K12" s="13"/>
      <c r="L12" s="13"/>
      <c r="M12" s="13"/>
      <c r="N12" s="13"/>
      <c r="O12" s="13"/>
      <c r="P12" s="13"/>
      <c r="Q12" s="13"/>
    </row>
    <row r="13" spans="1:18" ht="12.75" hidden="1" customHeight="1" x14ac:dyDescent="0.2">
      <c r="A13" s="2"/>
      <c r="B13" s="7"/>
      <c r="C13" s="14"/>
      <c r="D13" s="14"/>
      <c r="E13" s="14"/>
      <c r="F13" s="13"/>
      <c r="G13" s="13"/>
      <c r="H13" s="13"/>
      <c r="I13" s="13"/>
      <c r="J13" s="13"/>
      <c r="K13" s="13"/>
      <c r="L13" s="13"/>
      <c r="M13" s="13"/>
      <c r="N13" s="13"/>
      <c r="O13" s="13"/>
      <c r="P13" s="13"/>
      <c r="Q13" s="13"/>
    </row>
    <row r="14" spans="1:18" ht="85.5" customHeight="1" x14ac:dyDescent="0.2">
      <c r="B14" s="185" t="s">
        <v>78</v>
      </c>
      <c r="C14" s="185"/>
      <c r="D14" s="185"/>
      <c r="E14" s="185"/>
      <c r="F14" s="6"/>
      <c r="G14" s="6"/>
      <c r="H14" s="6"/>
      <c r="I14" s="6"/>
      <c r="J14" s="6"/>
      <c r="K14" s="6"/>
      <c r="L14" s="6"/>
      <c r="M14" s="6"/>
      <c r="N14" s="6"/>
      <c r="O14" s="6"/>
      <c r="P14" s="6"/>
      <c r="Q14" s="6"/>
    </row>
    <row r="15" spans="1:18" ht="6" customHeight="1" x14ac:dyDescent="0.2">
      <c r="A15" s="2"/>
      <c r="B15" s="7"/>
      <c r="C15" s="14"/>
      <c r="D15" s="14"/>
      <c r="E15" s="14"/>
    </row>
    <row r="16" spans="1:18" x14ac:dyDescent="0.2">
      <c r="A16" s="2"/>
      <c r="B16" s="186" t="s">
        <v>279</v>
      </c>
      <c r="C16" s="186"/>
      <c r="D16" s="186"/>
      <c r="E16" s="186"/>
    </row>
    <row r="17" spans="1:20" ht="5.25" customHeight="1" x14ac:dyDescent="0.2">
      <c r="A17" s="2"/>
      <c r="B17" s="186"/>
      <c r="C17" s="186"/>
      <c r="D17" s="186"/>
      <c r="E17" s="186"/>
    </row>
    <row r="18" spans="1:20" ht="75.75" customHeight="1" x14ac:dyDescent="0.2">
      <c r="A18" s="2"/>
      <c r="B18" s="186"/>
      <c r="C18" s="186"/>
      <c r="D18" s="186"/>
      <c r="E18" s="186"/>
      <c r="F18" s="6"/>
      <c r="G18" s="6"/>
      <c r="H18" s="6"/>
      <c r="I18" s="6"/>
      <c r="J18" s="6"/>
      <c r="K18" s="6"/>
      <c r="L18" s="6"/>
      <c r="M18" s="6"/>
      <c r="N18" s="6"/>
      <c r="O18" s="6"/>
      <c r="P18" s="6"/>
      <c r="Q18" s="6"/>
      <c r="R18" s="6"/>
      <c r="S18" s="6"/>
      <c r="T18" s="6"/>
    </row>
    <row r="19" spans="1:20" ht="8.25" customHeight="1" x14ac:dyDescent="0.2">
      <c r="A19" s="2"/>
    </row>
    <row r="20" spans="1:20" ht="29.25" customHeight="1" x14ac:dyDescent="0.2">
      <c r="A20" s="2"/>
      <c r="C20" s="15"/>
      <c r="D20" s="6"/>
      <c r="E20" s="6"/>
      <c r="F20" s="6"/>
      <c r="G20" s="6"/>
      <c r="H20" s="6"/>
      <c r="I20" s="6"/>
      <c r="J20" s="6"/>
      <c r="K20" s="6"/>
      <c r="L20" s="6"/>
      <c r="M20" s="6"/>
      <c r="N20" s="6"/>
      <c r="O20" s="6"/>
      <c r="P20" s="6"/>
      <c r="Q20" s="6"/>
      <c r="R20" s="6"/>
    </row>
    <row r="21" spans="1:20" ht="6.75" customHeight="1" x14ac:dyDescent="0.25">
      <c r="A21" s="2"/>
      <c r="C21" s="16"/>
    </row>
    <row r="22" spans="1:20" ht="53.25" customHeight="1" x14ac:dyDescent="0.2">
      <c r="A22" s="2"/>
      <c r="C22" s="15"/>
      <c r="D22" s="6"/>
      <c r="E22" s="6"/>
      <c r="F22" s="6"/>
      <c r="G22" s="6"/>
      <c r="H22" s="6"/>
      <c r="I22" s="6"/>
      <c r="J22" s="6"/>
      <c r="K22" s="6"/>
      <c r="L22" s="6"/>
      <c r="M22" s="6"/>
      <c r="N22" s="6"/>
      <c r="O22" s="6"/>
      <c r="P22" s="6"/>
      <c r="Q22" s="6"/>
      <c r="R22" s="6"/>
      <c r="S22" s="6"/>
      <c r="T22" s="6"/>
    </row>
    <row r="23" spans="1:20" ht="5.25" customHeight="1" x14ac:dyDescent="0.2">
      <c r="A23" s="2"/>
    </row>
    <row r="24" spans="1:20" ht="15.75" x14ac:dyDescent="0.25">
      <c r="A24" s="2"/>
      <c r="C24" s="17"/>
      <c r="D24" s="18"/>
      <c r="E24" s="18"/>
      <c r="F24" s="18"/>
      <c r="G24" s="18"/>
      <c r="H24" s="18"/>
      <c r="I24" s="18"/>
      <c r="J24" s="18"/>
      <c r="K24" s="18"/>
      <c r="L24" s="18"/>
      <c r="M24" s="18"/>
      <c r="N24" s="18"/>
      <c r="O24" s="18"/>
      <c r="P24" s="18"/>
      <c r="Q24" s="18"/>
      <c r="R24" s="18"/>
    </row>
    <row r="25" spans="1:20" ht="4.5" customHeight="1" x14ac:dyDescent="0.2">
      <c r="A25" s="2"/>
      <c r="C25" s="1" t="s">
        <v>1</v>
      </c>
    </row>
    <row r="26" spans="1:20" ht="12.75" hidden="1" customHeight="1" x14ac:dyDescent="0.2">
      <c r="A26" s="2"/>
      <c r="C26" s="2" t="s">
        <v>6</v>
      </c>
    </row>
    <row r="27" spans="1:20" x14ac:dyDescent="0.2">
      <c r="A27" s="2"/>
      <c r="C27" s="2"/>
    </row>
    <row r="28" spans="1:20" x14ac:dyDescent="0.2">
      <c r="A28" s="2"/>
      <c r="C28" s="2"/>
    </row>
    <row r="29" spans="1:20" x14ac:dyDescent="0.2">
      <c r="A29" s="2"/>
    </row>
    <row r="30" spans="1:20" x14ac:dyDescent="0.2">
      <c r="A30" s="2"/>
    </row>
    <row r="31" spans="1:20" x14ac:dyDescent="0.2">
      <c r="A31" s="2"/>
    </row>
  </sheetData>
  <sheetProtection algorithmName="SHA-512" hashValue="xJdGFXNX338rVNmnme3Hj4NyTKmmmCC3VQDXIQgLpf5hOY0VLgqiwk1HJNTP+bdamlVjruhocMORFqj49K5lqA==" saltValue="Znv/w6goq0PQUvpHNhqAGQ==" spinCount="100000" sheet="1" objects="1" scenarios="1" selectLockedCells="1" selectUnlockedCells="1"/>
  <mergeCells count="4">
    <mergeCell ref="B5:L5"/>
    <mergeCell ref="B8:E8"/>
    <mergeCell ref="B14:E14"/>
    <mergeCell ref="B16:E18"/>
  </mergeCells>
  <phoneticPr fontId="5" type="noConversion"/>
  <pageMargins left="0.75" right="0.75" top="1" bottom="1" header="0.5" footer="0.5"/>
  <pageSetup paperSize="9" scale="9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5581"/>
    <pageSetUpPr autoPageBreaks="0"/>
  </sheetPr>
  <dimension ref="A1:K111"/>
  <sheetViews>
    <sheetView showGridLines="0" showRowColHeaders="0" zoomScaleNormal="100" workbookViewId="0">
      <selection activeCell="B8" sqref="B8"/>
    </sheetView>
  </sheetViews>
  <sheetFormatPr defaultRowHeight="12.75" x14ac:dyDescent="0.2"/>
  <cols>
    <col min="1" max="1" width="8.42578125" style="7" customWidth="1"/>
    <col min="2" max="2" width="14.5703125" style="7" customWidth="1"/>
    <col min="3" max="5" width="21.42578125" style="7" customWidth="1"/>
    <col min="6" max="6" width="23" style="7" customWidth="1"/>
    <col min="7" max="7" width="24.140625" style="7" customWidth="1"/>
    <col min="8" max="8" width="10.5703125" style="7" customWidth="1"/>
    <col min="9" max="9" width="9.140625" style="7" customWidth="1"/>
    <col min="10" max="10" width="20.140625" style="7" customWidth="1"/>
    <col min="11" max="11" width="12.5703125" style="7" customWidth="1"/>
    <col min="12" max="12" width="11" style="7" customWidth="1"/>
    <col min="13" max="13" width="11.85546875" style="7" customWidth="1"/>
    <col min="14" max="14" width="9.140625" style="7"/>
    <col min="15" max="15" width="11.85546875" style="7" customWidth="1"/>
    <col min="16" max="16384" width="9.140625" style="7"/>
  </cols>
  <sheetData>
    <row r="1" spans="1:8" ht="17.25" customHeight="1" x14ac:dyDescent="0.2"/>
    <row r="2" spans="1:8" ht="24" customHeight="1" x14ac:dyDescent="0.2">
      <c r="A2" s="19" t="s">
        <v>7</v>
      </c>
      <c r="B2" s="20"/>
      <c r="C2" s="20"/>
      <c r="D2" s="20"/>
      <c r="E2" s="20"/>
      <c r="F2" s="20"/>
      <c r="G2" s="20"/>
    </row>
    <row r="3" spans="1:8" ht="24.75" customHeight="1" x14ac:dyDescent="0.2">
      <c r="A3" s="21" t="s">
        <v>80</v>
      </c>
      <c r="G3" s="22"/>
    </row>
    <row r="4" spans="1:8" ht="15.75" customHeight="1" x14ac:dyDescent="0.2">
      <c r="A4" s="23" t="s">
        <v>68</v>
      </c>
    </row>
    <row r="5" spans="1:8" ht="21" customHeight="1" x14ac:dyDescent="0.2">
      <c r="B5" s="24"/>
      <c r="C5" s="24"/>
      <c r="D5" s="24"/>
      <c r="E5" s="24"/>
      <c r="F5" s="24"/>
      <c r="G5" s="24"/>
    </row>
    <row r="6" spans="1:8" ht="25.5" customHeight="1" x14ac:dyDescent="0.2">
      <c r="A6" s="23" t="s">
        <v>81</v>
      </c>
      <c r="B6" s="23"/>
      <c r="C6" s="23"/>
      <c r="D6" s="25"/>
      <c r="E6" s="25"/>
      <c r="F6" s="25"/>
      <c r="G6" s="25"/>
      <c r="H6" s="25"/>
    </row>
    <row r="7" spans="1:8" ht="21" customHeight="1" x14ac:dyDescent="0.2">
      <c r="A7" s="25"/>
      <c r="B7" s="26" t="s">
        <v>82</v>
      </c>
      <c r="C7" s="27"/>
      <c r="D7" s="25"/>
      <c r="E7" s="25"/>
      <c r="F7" s="25"/>
      <c r="G7" s="25"/>
      <c r="H7" s="25"/>
    </row>
    <row r="8" spans="1:8" ht="26.25" customHeight="1" x14ac:dyDescent="0.2">
      <c r="A8" s="25"/>
      <c r="B8" s="71">
        <v>10000</v>
      </c>
      <c r="C8" s="25"/>
      <c r="D8" s="194" t="s">
        <v>154</v>
      </c>
      <c r="E8" s="188"/>
      <c r="F8" s="188"/>
      <c r="G8" s="188"/>
      <c r="H8" s="28"/>
    </row>
    <row r="9" spans="1:8" ht="26.25" customHeight="1" x14ac:dyDescent="0.2">
      <c r="A9" s="25"/>
      <c r="B9" s="25"/>
      <c r="C9" s="25"/>
      <c r="D9" s="188"/>
      <c r="E9" s="188"/>
      <c r="F9" s="188"/>
      <c r="G9" s="188"/>
      <c r="H9" s="25"/>
    </row>
    <row r="10" spans="1:8" ht="23.25" customHeight="1" x14ac:dyDescent="0.2">
      <c r="A10" s="25"/>
      <c r="B10" s="26" t="s">
        <v>83</v>
      </c>
      <c r="C10" s="25"/>
      <c r="D10" s="25"/>
      <c r="E10" s="25"/>
      <c r="F10" s="25"/>
      <c r="G10" s="25"/>
      <c r="H10" s="25"/>
    </row>
    <row r="11" spans="1:8" ht="27" customHeight="1" x14ac:dyDescent="0.2">
      <c r="A11" s="25"/>
      <c r="B11" s="71">
        <v>10000</v>
      </c>
      <c r="C11" s="135"/>
      <c r="D11" s="187" t="s">
        <v>148</v>
      </c>
      <c r="E11" s="187"/>
      <c r="F11" s="187"/>
      <c r="G11" s="187"/>
      <c r="H11" s="187"/>
    </row>
    <row r="12" spans="1:8" x14ac:dyDescent="0.2">
      <c r="A12" s="25"/>
      <c r="B12" s="25"/>
      <c r="C12" s="135"/>
      <c r="D12" s="187"/>
      <c r="E12" s="187"/>
      <c r="F12" s="187"/>
      <c r="G12" s="187"/>
      <c r="H12" s="187"/>
    </row>
    <row r="13" spans="1:8" ht="18.75" customHeight="1" x14ac:dyDescent="0.2">
      <c r="A13" s="23" t="s">
        <v>84</v>
      </c>
      <c r="B13" s="23"/>
      <c r="C13" s="23"/>
      <c r="D13" s="25"/>
      <c r="E13" s="25"/>
      <c r="F13" s="25"/>
      <c r="G13" s="25"/>
      <c r="H13" s="25"/>
    </row>
    <row r="14" spans="1:8" ht="22.5" customHeight="1" x14ac:dyDescent="0.2">
      <c r="A14" s="25"/>
      <c r="B14" s="26" t="s">
        <v>85</v>
      </c>
      <c r="C14" s="25"/>
      <c r="D14" s="25"/>
      <c r="E14" s="25"/>
      <c r="F14" s="25"/>
      <c r="G14" s="25"/>
      <c r="H14" s="25"/>
    </row>
    <row r="15" spans="1:8" ht="26.25" customHeight="1" x14ac:dyDescent="0.2">
      <c r="A15" s="25"/>
      <c r="B15" s="71">
        <v>15000</v>
      </c>
      <c r="C15" s="25"/>
      <c r="D15" s="194" t="s">
        <v>149</v>
      </c>
      <c r="E15" s="194"/>
      <c r="F15" s="194"/>
      <c r="G15" s="194"/>
      <c r="H15" s="28"/>
    </row>
    <row r="16" spans="1:8" ht="9" customHeight="1" x14ac:dyDescent="0.2">
      <c r="A16" s="25"/>
      <c r="B16" s="25"/>
      <c r="C16" s="25"/>
      <c r="D16" s="194"/>
      <c r="E16" s="194"/>
      <c r="F16" s="194"/>
      <c r="G16" s="194"/>
      <c r="H16" s="28"/>
    </row>
    <row r="17" spans="1:8" ht="22.5" customHeight="1" x14ac:dyDescent="0.2">
      <c r="A17" s="25"/>
      <c r="B17" s="26" t="s">
        <v>86</v>
      </c>
      <c r="C17" s="25"/>
      <c r="D17" s="31"/>
      <c r="E17" s="31"/>
      <c r="F17" s="31"/>
      <c r="G17" s="31"/>
      <c r="H17" s="25"/>
    </row>
    <row r="18" spans="1:8" ht="26.25" customHeight="1" x14ac:dyDescent="0.2">
      <c r="A18" s="29"/>
      <c r="B18" s="71">
        <v>100000</v>
      </c>
      <c r="C18" s="30"/>
      <c r="D18" s="187" t="s">
        <v>155</v>
      </c>
      <c r="E18" s="187"/>
      <c r="F18" s="187"/>
      <c r="G18" s="187"/>
      <c r="H18" s="31"/>
    </row>
    <row r="19" spans="1:8" ht="30" customHeight="1" x14ac:dyDescent="0.2">
      <c r="A19" s="29"/>
      <c r="B19" s="30"/>
      <c r="C19" s="30"/>
      <c r="D19" s="187"/>
      <c r="E19" s="187"/>
      <c r="F19" s="187"/>
      <c r="G19" s="187"/>
      <c r="H19" s="31"/>
    </row>
    <row r="20" spans="1:8" ht="18.75" customHeight="1" x14ac:dyDescent="0.2">
      <c r="A20" s="136" t="s">
        <v>219</v>
      </c>
      <c r="B20" s="23"/>
      <c r="C20" s="23"/>
      <c r="D20" s="25"/>
      <c r="E20" s="31"/>
      <c r="F20" s="31"/>
      <c r="G20" s="31"/>
      <c r="H20" s="31"/>
    </row>
    <row r="21" spans="1:8" ht="22.5" customHeight="1" x14ac:dyDescent="0.2">
      <c r="A21" s="29"/>
      <c r="B21" s="26" t="s">
        <v>82</v>
      </c>
      <c r="C21" s="30"/>
      <c r="D21" s="31"/>
      <c r="E21" s="31"/>
      <c r="F21" s="31"/>
      <c r="G21" s="31"/>
      <c r="H21" s="31"/>
    </row>
    <row r="22" spans="1:8" ht="27" customHeight="1" x14ac:dyDescent="0.2">
      <c r="A22" s="29"/>
      <c r="B22" s="71">
        <v>0</v>
      </c>
      <c r="C22" s="30"/>
      <c r="D22" s="188" t="s">
        <v>150</v>
      </c>
      <c r="E22" s="188"/>
      <c r="F22" s="188"/>
      <c r="G22" s="188"/>
      <c r="H22" s="31"/>
    </row>
    <row r="23" spans="1:8" ht="16.5" customHeight="1" x14ac:dyDescent="0.2">
      <c r="A23" s="29"/>
      <c r="B23" s="30"/>
      <c r="C23" s="30"/>
      <c r="D23" s="188"/>
      <c r="E23" s="188"/>
      <c r="F23" s="188"/>
      <c r="G23" s="188"/>
      <c r="H23" s="31"/>
    </row>
    <row r="24" spans="1:8" ht="28.5" customHeight="1" x14ac:dyDescent="0.2">
      <c r="A24" s="29"/>
      <c r="B24" s="26" t="s">
        <v>87</v>
      </c>
      <c r="C24" s="30"/>
      <c r="D24" s="32"/>
      <c r="E24" s="32"/>
      <c r="F24" s="32"/>
      <c r="G24" s="32"/>
      <c r="H24" s="31"/>
    </row>
    <row r="25" spans="1:8" ht="24.75" customHeight="1" x14ac:dyDescent="0.2">
      <c r="A25" s="29"/>
      <c r="B25" s="140">
        <v>0</v>
      </c>
      <c r="C25" s="30"/>
      <c r="D25" s="187" t="s">
        <v>151</v>
      </c>
      <c r="E25" s="187"/>
      <c r="F25" s="187"/>
      <c r="G25" s="187"/>
      <c r="H25" s="31"/>
    </row>
    <row r="26" spans="1:8" x14ac:dyDescent="0.2">
      <c r="A26" s="25"/>
      <c r="B26" s="25"/>
      <c r="C26" s="25"/>
      <c r="D26" s="187"/>
      <c r="E26" s="187"/>
      <c r="F26" s="187"/>
      <c r="G26" s="187"/>
      <c r="H26" s="31"/>
    </row>
    <row r="27" spans="1:8" ht="24" customHeight="1" x14ac:dyDescent="0.2">
      <c r="A27" s="136" t="s">
        <v>220</v>
      </c>
      <c r="B27" s="33"/>
      <c r="C27" s="33"/>
      <c r="D27" s="34"/>
      <c r="E27" s="31"/>
      <c r="F27" s="31"/>
      <c r="G27" s="31"/>
      <c r="H27" s="31"/>
    </row>
    <row r="28" spans="1:8" ht="26.25" customHeight="1" x14ac:dyDescent="0.2">
      <c r="A28" s="25"/>
      <c r="B28" s="26" t="s">
        <v>152</v>
      </c>
      <c r="C28" s="25"/>
      <c r="D28" s="25"/>
      <c r="E28" s="25"/>
      <c r="F28" s="25"/>
      <c r="G28" s="25"/>
      <c r="H28" s="25"/>
    </row>
    <row r="29" spans="1:8" ht="27" customHeight="1" x14ac:dyDescent="0.2">
      <c r="A29" s="25"/>
      <c r="B29" s="71">
        <v>0</v>
      </c>
      <c r="C29" s="25"/>
      <c r="D29" s="188" t="s">
        <v>156</v>
      </c>
      <c r="E29" s="188"/>
      <c r="F29" s="188"/>
      <c r="G29" s="188"/>
      <c r="H29" s="25"/>
    </row>
    <row r="30" spans="1:8" ht="15" customHeight="1" x14ac:dyDescent="0.2">
      <c r="A30" s="29"/>
      <c r="B30" s="30"/>
      <c r="C30" s="30"/>
      <c r="D30" s="188"/>
      <c r="E30" s="188"/>
      <c r="F30" s="188"/>
      <c r="G30" s="188"/>
      <c r="H30" s="31"/>
    </row>
    <row r="31" spans="1:8" ht="24.75" customHeight="1" x14ac:dyDescent="0.2">
      <c r="A31" s="136" t="s">
        <v>221</v>
      </c>
      <c r="B31" s="23"/>
      <c r="C31" s="23"/>
      <c r="D31" s="25"/>
      <c r="E31" s="31"/>
      <c r="F31" s="31"/>
      <c r="G31" s="31"/>
      <c r="H31" s="31"/>
    </row>
    <row r="32" spans="1:8" ht="26.25" customHeight="1" x14ac:dyDescent="0.2">
      <c r="A32" s="29"/>
      <c r="B32" s="26" t="s">
        <v>89</v>
      </c>
      <c r="C32" s="35"/>
      <c r="D32" s="31"/>
      <c r="E32" s="31"/>
      <c r="F32" s="31"/>
      <c r="G32" s="31"/>
      <c r="H32" s="31"/>
    </row>
    <row r="33" spans="1:10" ht="22.5" customHeight="1" x14ac:dyDescent="0.2">
      <c r="A33" s="29"/>
      <c r="B33" s="71">
        <v>0</v>
      </c>
      <c r="C33" s="35"/>
      <c r="D33" s="188" t="s">
        <v>153</v>
      </c>
      <c r="E33" s="188"/>
      <c r="F33" s="188"/>
      <c r="G33" s="188"/>
      <c r="H33" s="31"/>
    </row>
    <row r="34" spans="1:10" ht="18.75" customHeight="1" x14ac:dyDescent="0.2">
      <c r="A34" s="29"/>
      <c r="B34" s="35"/>
      <c r="C34" s="35"/>
      <c r="D34" s="188"/>
      <c r="E34" s="188"/>
      <c r="F34" s="188"/>
      <c r="G34" s="188"/>
      <c r="H34" s="31"/>
    </row>
    <row r="35" spans="1:10" ht="30" customHeight="1" x14ac:dyDescent="0.2">
      <c r="A35" s="29"/>
      <c r="B35" s="26" t="s">
        <v>88</v>
      </c>
      <c r="C35" s="35"/>
      <c r="D35" s="31"/>
      <c r="E35" s="31"/>
      <c r="F35" s="31"/>
      <c r="G35" s="31"/>
      <c r="H35" s="31"/>
    </row>
    <row r="36" spans="1:10" ht="24.75" customHeight="1" x14ac:dyDescent="0.2">
      <c r="A36" s="29"/>
      <c r="B36" s="71">
        <v>0</v>
      </c>
      <c r="C36" s="35"/>
      <c r="D36" s="187" t="s">
        <v>157</v>
      </c>
      <c r="E36" s="187"/>
      <c r="F36" s="187"/>
      <c r="G36" s="187"/>
      <c r="H36" s="31"/>
    </row>
    <row r="37" spans="1:10" ht="12" customHeight="1" x14ac:dyDescent="0.2">
      <c r="A37" s="29"/>
      <c r="B37" s="35"/>
      <c r="C37" s="35"/>
      <c r="D37" s="187"/>
      <c r="E37" s="187"/>
      <c r="F37" s="187"/>
      <c r="G37" s="187"/>
      <c r="H37" s="31"/>
    </row>
    <row r="38" spans="1:10" ht="17.25" customHeight="1" x14ac:dyDescent="0.2">
      <c r="A38" s="36"/>
      <c r="B38" s="36"/>
      <c r="C38" s="36"/>
      <c r="D38" s="25"/>
      <c r="E38" s="31"/>
      <c r="F38" s="31"/>
      <c r="G38" s="31"/>
      <c r="H38" s="31"/>
    </row>
    <row r="39" spans="1:10" ht="28.5" customHeight="1" x14ac:dyDescent="0.2">
      <c r="A39" s="136" t="s">
        <v>222</v>
      </c>
      <c r="B39" s="37"/>
      <c r="C39" s="35"/>
      <c r="D39" s="31"/>
      <c r="E39" s="31"/>
      <c r="F39" s="31"/>
      <c r="G39" s="31"/>
      <c r="H39" s="31"/>
    </row>
    <row r="40" spans="1:10" ht="15.75" x14ac:dyDescent="0.2">
      <c r="A40" s="29"/>
      <c r="B40" s="72">
        <v>5</v>
      </c>
      <c r="C40" s="35"/>
      <c r="D40" s="188" t="s">
        <v>90</v>
      </c>
      <c r="E40" s="188"/>
      <c r="F40" s="188"/>
      <c r="G40" s="188"/>
      <c r="H40" s="31"/>
    </row>
    <row r="41" spans="1:10" ht="10.5" customHeight="1" x14ac:dyDescent="0.2">
      <c r="A41" s="29"/>
      <c r="B41" s="35"/>
      <c r="C41" s="35"/>
      <c r="D41" s="188"/>
      <c r="E41" s="188"/>
      <c r="F41" s="188"/>
      <c r="G41" s="188"/>
      <c r="H41" s="31"/>
    </row>
    <row r="42" spans="1:10" ht="25.5" customHeight="1" x14ac:dyDescent="0.2">
      <c r="A42" s="36" t="s">
        <v>223</v>
      </c>
      <c r="G42" s="38"/>
      <c r="H42" s="31"/>
    </row>
    <row r="43" spans="1:10" ht="26.25" customHeight="1" x14ac:dyDescent="0.2">
      <c r="A43" s="136" t="s">
        <v>158</v>
      </c>
      <c r="B43" s="136"/>
      <c r="C43" s="136"/>
      <c r="D43" s="136"/>
      <c r="E43" s="136"/>
      <c r="F43" s="136"/>
      <c r="G43" s="136"/>
      <c r="H43" s="31"/>
    </row>
    <row r="44" spans="1:10" ht="30" customHeight="1" x14ac:dyDescent="0.2">
      <c r="A44" s="25"/>
      <c r="B44" s="72">
        <v>500</v>
      </c>
      <c r="D44" s="188" t="s">
        <v>159</v>
      </c>
      <c r="E44" s="188"/>
      <c r="F44" s="188"/>
      <c r="G44" s="188"/>
      <c r="H44" s="31"/>
    </row>
    <row r="45" spans="1:10" ht="33.75" customHeight="1" x14ac:dyDescent="0.2">
      <c r="A45" s="25"/>
      <c r="B45" s="25"/>
      <c r="C45" s="40"/>
      <c r="D45" s="188"/>
      <c r="E45" s="188"/>
      <c r="F45" s="188"/>
      <c r="G45" s="188"/>
    </row>
    <row r="46" spans="1:10" ht="27.75" customHeight="1" x14ac:dyDescent="0.2">
      <c r="A46" s="136" t="s">
        <v>243</v>
      </c>
      <c r="B46" s="23"/>
      <c r="C46" s="23"/>
      <c r="D46" s="23"/>
      <c r="E46" s="23"/>
      <c r="F46" s="23"/>
      <c r="G46" s="41"/>
      <c r="H46" s="136"/>
      <c r="I46" s="25"/>
      <c r="J46" s="25"/>
    </row>
    <row r="47" spans="1:10" ht="50.25" customHeight="1" x14ac:dyDescent="0.2">
      <c r="A47" s="25"/>
      <c r="B47" s="150">
        <v>1.4E-2</v>
      </c>
      <c r="C47" s="151"/>
      <c r="D47" s="188" t="s">
        <v>194</v>
      </c>
      <c r="E47" s="188"/>
      <c r="F47" s="188"/>
      <c r="G47" s="188"/>
      <c r="H47" s="39"/>
      <c r="I47" s="39"/>
      <c r="J47" s="9"/>
    </row>
    <row r="48" spans="1:10" ht="27" customHeight="1" x14ac:dyDescent="0.2">
      <c r="A48" s="29"/>
      <c r="B48" s="25"/>
      <c r="C48" s="25"/>
      <c r="D48" s="188"/>
      <c r="E48" s="188"/>
      <c r="F48" s="188"/>
      <c r="G48" s="188"/>
      <c r="H48" s="25"/>
      <c r="I48" s="25"/>
      <c r="J48" s="25"/>
    </row>
    <row r="49" spans="1:11" ht="23.25" customHeight="1" x14ac:dyDescent="0.2">
      <c r="A49" s="136" t="s">
        <v>244</v>
      </c>
      <c r="B49" s="23"/>
      <c r="C49" s="23"/>
      <c r="D49" s="25"/>
      <c r="E49" s="25"/>
      <c r="H49" s="25"/>
      <c r="I49" s="25"/>
      <c r="J49" s="25"/>
    </row>
    <row r="50" spans="1:11" ht="33" customHeight="1" x14ac:dyDescent="0.2">
      <c r="A50" s="43"/>
      <c r="B50" s="150">
        <v>7.5999999999999998E-2</v>
      </c>
      <c r="C50" s="149"/>
      <c r="D50" s="188" t="s">
        <v>263</v>
      </c>
      <c r="E50" s="188"/>
      <c r="F50" s="188"/>
      <c r="G50" s="188"/>
      <c r="H50" s="25"/>
      <c r="I50" s="25"/>
      <c r="J50" s="25"/>
      <c r="K50" s="9"/>
    </row>
    <row r="51" spans="1:11" ht="20.25" customHeight="1" x14ac:dyDescent="0.2">
      <c r="A51" s="43"/>
      <c r="B51" s="25"/>
      <c r="C51" s="25"/>
      <c r="D51" s="188"/>
      <c r="E51" s="188"/>
      <c r="F51" s="188"/>
      <c r="G51" s="188"/>
      <c r="H51" s="25"/>
      <c r="I51" s="25"/>
      <c r="J51" s="25"/>
    </row>
    <row r="52" spans="1:11" ht="27" customHeight="1" x14ac:dyDescent="0.2">
      <c r="A52" s="136" t="s">
        <v>245</v>
      </c>
      <c r="B52" s="47"/>
      <c r="C52" s="47"/>
      <c r="D52" s="25"/>
      <c r="E52" s="25"/>
      <c r="F52" s="44"/>
      <c r="G52" s="44"/>
      <c r="H52" s="25"/>
      <c r="I52" s="25"/>
      <c r="J52" s="25"/>
    </row>
    <row r="53" spans="1:11" ht="33" customHeight="1" x14ac:dyDescent="0.2">
      <c r="A53" s="43"/>
      <c r="B53" s="150">
        <v>5.0000000000000001E-3</v>
      </c>
      <c r="C53" s="149"/>
      <c r="D53" s="188" t="s">
        <v>192</v>
      </c>
      <c r="E53" s="188"/>
      <c r="F53" s="188"/>
      <c r="G53" s="188"/>
      <c r="H53" s="25"/>
      <c r="I53" s="25"/>
      <c r="J53" s="25"/>
    </row>
    <row r="54" spans="1:11" ht="10.5" customHeight="1" x14ac:dyDescent="0.2">
      <c r="A54" s="43"/>
      <c r="B54" s="25"/>
      <c r="C54" s="25"/>
      <c r="D54" s="188"/>
      <c r="E54" s="188"/>
      <c r="F54" s="188"/>
      <c r="G54" s="188"/>
      <c r="H54" s="25"/>
      <c r="I54" s="25"/>
      <c r="J54" s="25"/>
    </row>
    <row r="55" spans="1:11" ht="38.25" customHeight="1" x14ac:dyDescent="0.2">
      <c r="A55" s="136" t="s">
        <v>224</v>
      </c>
      <c r="B55" s="48"/>
      <c r="C55" s="48"/>
      <c r="D55" s="25"/>
      <c r="E55" s="25"/>
      <c r="F55" s="44"/>
      <c r="G55" s="44"/>
      <c r="H55" s="41"/>
      <c r="I55" s="25"/>
      <c r="J55" s="25"/>
    </row>
    <row r="56" spans="1:11" ht="38.25" customHeight="1" x14ac:dyDescent="0.2">
      <c r="A56" s="43"/>
      <c r="B56" s="150">
        <v>0.01</v>
      </c>
      <c r="C56" s="149"/>
      <c r="D56" s="188" t="s">
        <v>193</v>
      </c>
      <c r="E56" s="188"/>
      <c r="F56" s="188"/>
      <c r="G56" s="188"/>
      <c r="H56" s="42"/>
      <c r="I56" s="25"/>
      <c r="J56" s="25"/>
    </row>
    <row r="57" spans="1:11" ht="17.25" customHeight="1" x14ac:dyDescent="0.2">
      <c r="A57" s="43"/>
      <c r="B57" s="44"/>
      <c r="C57" s="149"/>
      <c r="D57" s="188"/>
      <c r="E57" s="188"/>
      <c r="F57" s="188"/>
      <c r="G57" s="188"/>
    </row>
    <row r="58" spans="1:11" ht="24.75" customHeight="1" x14ac:dyDescent="0.2">
      <c r="A58" s="145" t="s">
        <v>225</v>
      </c>
      <c r="B58" s="137"/>
      <c r="C58" s="137"/>
      <c r="D58" s="137"/>
      <c r="E58" s="137"/>
      <c r="F58" s="137"/>
      <c r="G58" s="137"/>
    </row>
    <row r="59" spans="1:11" ht="38.25" customHeight="1" x14ac:dyDescent="0.2">
      <c r="A59" s="43"/>
      <c r="B59" s="73">
        <v>0.3</v>
      </c>
      <c r="C59" s="31"/>
      <c r="D59" s="187" t="s">
        <v>172</v>
      </c>
      <c r="E59" s="187"/>
      <c r="F59" s="187"/>
      <c r="G59" s="187"/>
      <c r="H59" s="44"/>
      <c r="I59" s="45"/>
      <c r="J59" s="46"/>
    </row>
    <row r="60" spans="1:11" ht="11.25" customHeight="1" x14ac:dyDescent="0.2">
      <c r="A60" s="43"/>
      <c r="B60" s="44"/>
      <c r="C60" s="31"/>
      <c r="D60" s="187"/>
      <c r="E60" s="187"/>
      <c r="F60" s="187"/>
      <c r="G60" s="187"/>
      <c r="H60" s="44"/>
      <c r="I60" s="45"/>
      <c r="J60" s="46"/>
    </row>
    <row r="61" spans="1:11" ht="25.5" customHeight="1" x14ac:dyDescent="0.2">
      <c r="A61" s="145" t="s">
        <v>227</v>
      </c>
      <c r="B61" s="33"/>
      <c r="C61" s="33"/>
      <c r="D61" s="25"/>
      <c r="E61" s="25"/>
      <c r="F61" s="44"/>
      <c r="G61" s="44"/>
      <c r="H61" s="44"/>
      <c r="I61" s="45"/>
      <c r="J61" s="46"/>
    </row>
    <row r="62" spans="1:11" ht="27" customHeight="1" x14ac:dyDescent="0.2">
      <c r="A62" s="43"/>
      <c r="B62" s="72">
        <v>0</v>
      </c>
      <c r="C62" s="144"/>
      <c r="D62" s="187" t="s">
        <v>173</v>
      </c>
      <c r="E62" s="187"/>
      <c r="F62" s="187"/>
      <c r="G62" s="187"/>
      <c r="H62" s="44"/>
      <c r="I62" s="45"/>
      <c r="J62" s="46"/>
    </row>
    <row r="63" spans="1:11" ht="14.25" customHeight="1" x14ac:dyDescent="0.2">
      <c r="A63" s="43"/>
      <c r="B63" s="44"/>
      <c r="C63" s="144"/>
      <c r="D63" s="187"/>
      <c r="E63" s="187"/>
      <c r="F63" s="187"/>
      <c r="G63" s="187"/>
      <c r="H63" s="44"/>
      <c r="I63" s="45"/>
      <c r="J63" s="46"/>
    </row>
    <row r="64" spans="1:11" ht="24" customHeight="1" x14ac:dyDescent="0.2">
      <c r="A64" s="145" t="s">
        <v>226</v>
      </c>
      <c r="B64" s="49"/>
      <c r="C64" s="49"/>
      <c r="D64" s="25"/>
      <c r="E64" s="25"/>
      <c r="F64" s="44"/>
      <c r="G64" s="44"/>
      <c r="H64" s="44"/>
      <c r="I64" s="45"/>
      <c r="J64" s="46"/>
    </row>
    <row r="65" spans="1:10" ht="0.75" customHeight="1" x14ac:dyDescent="0.2">
      <c r="A65" s="29"/>
      <c r="B65" s="25"/>
      <c r="C65" s="25"/>
      <c r="D65" s="25"/>
      <c r="E65" s="25"/>
      <c r="F65" s="25"/>
      <c r="G65" s="25"/>
      <c r="H65" s="44"/>
      <c r="I65" s="45"/>
      <c r="J65" s="46"/>
    </row>
    <row r="66" spans="1:10" ht="78.75" customHeight="1" x14ac:dyDescent="0.2">
      <c r="A66" s="29"/>
      <c r="B66" s="25"/>
      <c r="C66" s="25"/>
      <c r="D66" s="25"/>
      <c r="E66" s="25"/>
      <c r="F66" s="189" t="s">
        <v>191</v>
      </c>
      <c r="G66" s="189"/>
      <c r="H66" s="44"/>
      <c r="I66" s="45"/>
      <c r="J66" s="46"/>
    </row>
    <row r="67" spans="1:10" ht="93" hidden="1" customHeight="1" thickBot="1" x14ac:dyDescent="0.25">
      <c r="A67" s="50" t="s">
        <v>63</v>
      </c>
      <c r="B67" s="51">
        <v>1</v>
      </c>
      <c r="C67" s="51">
        <v>2</v>
      </c>
      <c r="D67" s="51">
        <v>3</v>
      </c>
      <c r="E67" s="51">
        <v>4</v>
      </c>
      <c r="H67" s="137"/>
      <c r="I67" s="45"/>
      <c r="J67" s="46"/>
    </row>
    <row r="68" spans="1:10" ht="11.25" hidden="1" customHeight="1" thickBot="1" x14ac:dyDescent="0.25">
      <c r="A68" s="53" t="s">
        <v>79</v>
      </c>
      <c r="B68" s="74">
        <f>IF($B$69=1, 1, "")</f>
        <v>1</v>
      </c>
      <c r="C68" s="75" t="str">
        <f>IF($B$69=2, 1, "")</f>
        <v/>
      </c>
      <c r="D68" s="75" t="str">
        <f>IF($B$69=3, 1, "")</f>
        <v/>
      </c>
      <c r="E68" s="75" t="str">
        <f>IF($B$69=4, 1, "")</f>
        <v/>
      </c>
      <c r="H68" s="44"/>
      <c r="I68" s="45"/>
      <c r="J68" s="46"/>
    </row>
    <row r="69" spans="1:10" ht="12" hidden="1" customHeight="1" x14ac:dyDescent="0.2">
      <c r="A69" s="55"/>
      <c r="B69" s="76">
        <v>1</v>
      </c>
      <c r="C69" s="56"/>
      <c r="D69" s="56"/>
      <c r="E69" s="56"/>
      <c r="F69" s="25"/>
      <c r="G69" s="57"/>
      <c r="H69" s="44"/>
      <c r="I69" s="45"/>
      <c r="J69" s="46"/>
    </row>
    <row r="70" spans="1:10" ht="12" customHeight="1" x14ac:dyDescent="0.2">
      <c r="A70" s="29"/>
      <c r="B70" s="56"/>
      <c r="C70" s="56"/>
      <c r="D70" s="56"/>
      <c r="E70" s="56"/>
      <c r="F70" s="25"/>
      <c r="G70" s="57"/>
      <c r="H70" s="44"/>
      <c r="I70" s="45"/>
      <c r="J70" s="46"/>
    </row>
    <row r="71" spans="1:10" ht="30" customHeight="1" x14ac:dyDescent="0.2">
      <c r="A71" s="145" t="s">
        <v>228</v>
      </c>
      <c r="B71" s="137"/>
      <c r="C71" s="137"/>
      <c r="D71" s="137"/>
      <c r="E71" s="137"/>
      <c r="F71" s="137"/>
      <c r="G71" s="137"/>
      <c r="H71" s="44"/>
      <c r="I71" s="45"/>
      <c r="J71" s="46"/>
    </row>
    <row r="72" spans="1:10" ht="39" customHeight="1" x14ac:dyDescent="0.2">
      <c r="A72" s="29"/>
      <c r="B72" s="56"/>
      <c r="C72" s="56"/>
      <c r="D72" s="58"/>
      <c r="E72" s="58"/>
      <c r="F72" s="58"/>
      <c r="G72" s="58"/>
      <c r="H72" s="44"/>
      <c r="I72" s="45"/>
      <c r="J72" s="46"/>
    </row>
    <row r="73" spans="1:10" ht="38.25" hidden="1" customHeight="1" thickBot="1" x14ac:dyDescent="0.25">
      <c r="A73" s="50"/>
      <c r="B73" s="50" t="s">
        <v>24</v>
      </c>
      <c r="C73" s="50" t="s">
        <v>21</v>
      </c>
      <c r="D73" s="50" t="s">
        <v>22</v>
      </c>
      <c r="E73" s="50" t="s">
        <v>23</v>
      </c>
      <c r="F73" s="50" t="s">
        <v>25</v>
      </c>
      <c r="G73" s="159" t="s">
        <v>26</v>
      </c>
      <c r="H73" s="44"/>
      <c r="I73" s="45"/>
      <c r="J73" s="46"/>
    </row>
    <row r="74" spans="1:10" ht="26.25" hidden="1" customHeight="1" thickBot="1" x14ac:dyDescent="0.25">
      <c r="A74" s="191" t="s">
        <v>79</v>
      </c>
      <c r="B74" s="77" t="str">
        <f>IF($B$75=1, 1, "")</f>
        <v/>
      </c>
      <c r="C74" s="77" t="str">
        <f>IF($B$75=2, 1, "")</f>
        <v/>
      </c>
      <c r="D74" s="77" t="str">
        <f>IF($B$75=3, 1, "")</f>
        <v/>
      </c>
      <c r="E74" s="77" t="str">
        <f>IF($B$75=4, 1, "")</f>
        <v/>
      </c>
      <c r="F74" s="77" t="str">
        <f>IF($B$75=5, 1, "")</f>
        <v/>
      </c>
      <c r="G74" s="160">
        <f>IF($B$75=6, 1, "")</f>
        <v>1</v>
      </c>
      <c r="H74" s="161" t="str">
        <f>IF($B$75=7, 1, "")</f>
        <v/>
      </c>
      <c r="I74" s="161" t="str">
        <f>IF($B$75=8, 1, "")</f>
        <v/>
      </c>
    </row>
    <row r="75" spans="1:10" ht="36" hidden="1" customHeight="1" x14ac:dyDescent="0.2">
      <c r="A75" s="192"/>
      <c r="B75" s="78">
        <v>6</v>
      </c>
      <c r="C75" s="59">
        <f>B75</f>
        <v>6</v>
      </c>
      <c r="D75" s="60"/>
      <c r="E75" s="60"/>
      <c r="F75" s="60"/>
      <c r="G75" s="56"/>
    </row>
    <row r="76" spans="1:10" ht="12" hidden="1" customHeight="1" x14ac:dyDescent="0.2">
      <c r="A76" s="29"/>
      <c r="B76" s="61"/>
      <c r="C76" s="56"/>
      <c r="D76" s="56"/>
      <c r="E76" s="56"/>
      <c r="F76" s="56"/>
      <c r="G76" s="56"/>
      <c r="I76" s="52"/>
    </row>
    <row r="77" spans="1:10" ht="42.75" customHeight="1" x14ac:dyDescent="0.2">
      <c r="A77" s="145" t="s">
        <v>229</v>
      </c>
      <c r="B77" s="137"/>
      <c r="C77" s="137"/>
      <c r="D77" s="137"/>
      <c r="E77" s="137"/>
      <c r="F77" s="137"/>
      <c r="G77" s="137"/>
      <c r="I77" s="54"/>
    </row>
    <row r="78" spans="1:10" ht="40.5" customHeight="1" x14ac:dyDescent="0.2">
      <c r="A78" s="25"/>
      <c r="B78" s="164">
        <v>0.6</v>
      </c>
      <c r="C78" s="165"/>
      <c r="D78" s="188" t="s">
        <v>189</v>
      </c>
      <c r="E78" s="188"/>
      <c r="F78" s="188"/>
      <c r="G78" s="188"/>
      <c r="H78" s="57"/>
      <c r="I78" s="25"/>
    </row>
    <row r="79" spans="1:10" ht="81" hidden="1" customHeight="1" thickBot="1" x14ac:dyDescent="0.25">
      <c r="A79" s="25"/>
      <c r="B79" s="25"/>
      <c r="C79" s="62"/>
      <c r="D79" s="188"/>
      <c r="E79" s="188"/>
      <c r="F79" s="188"/>
      <c r="G79" s="188"/>
      <c r="H79" s="57"/>
      <c r="I79" s="25"/>
    </row>
    <row r="80" spans="1:10" ht="24.75" customHeight="1" x14ac:dyDescent="0.2">
      <c r="A80" s="193" t="s">
        <v>230</v>
      </c>
      <c r="B80" s="193"/>
      <c r="C80" s="193"/>
      <c r="D80" s="193"/>
      <c r="E80" s="193"/>
      <c r="F80" s="25"/>
      <c r="G80" s="25"/>
      <c r="H80" s="57"/>
      <c r="I80" s="25"/>
    </row>
    <row r="81" spans="1:9" ht="23.25" customHeight="1" x14ac:dyDescent="0.2">
      <c r="A81" s="63"/>
      <c r="B81" s="73">
        <v>0.75</v>
      </c>
      <c r="C81" s="25"/>
      <c r="D81" s="188" t="s">
        <v>188</v>
      </c>
      <c r="E81" s="188"/>
      <c r="F81" s="188"/>
      <c r="G81" s="188"/>
      <c r="H81" s="57"/>
      <c r="I81" s="25"/>
    </row>
    <row r="82" spans="1:9" ht="17.25" customHeight="1" x14ac:dyDescent="0.2">
      <c r="A82" s="63"/>
      <c r="B82" s="45"/>
      <c r="C82" s="25"/>
      <c r="D82" s="188"/>
      <c r="E82" s="188"/>
      <c r="F82" s="188"/>
      <c r="G82" s="188"/>
      <c r="H82" s="57"/>
      <c r="I82" s="25"/>
    </row>
    <row r="83" spans="1:9" ht="37.5" customHeight="1" x14ac:dyDescent="0.2">
      <c r="A83" s="145" t="s">
        <v>231</v>
      </c>
      <c r="B83" s="137"/>
      <c r="C83" s="137"/>
      <c r="D83" s="137"/>
      <c r="E83" s="137"/>
      <c r="F83" s="137"/>
      <c r="G83" s="137"/>
      <c r="H83" s="57"/>
      <c r="I83" s="25"/>
    </row>
    <row r="84" spans="1:9" ht="37.5" customHeight="1" x14ac:dyDescent="0.2">
      <c r="B84" s="73">
        <v>0.12</v>
      </c>
      <c r="D84" s="188" t="s">
        <v>91</v>
      </c>
      <c r="E84" s="188"/>
      <c r="F84" s="188"/>
      <c r="G84" s="188"/>
      <c r="H84" s="57"/>
      <c r="I84" s="25"/>
    </row>
    <row r="85" spans="1:9" ht="12" customHeight="1" x14ac:dyDescent="0.2">
      <c r="B85" s="45"/>
      <c r="D85" s="188"/>
      <c r="E85" s="188"/>
      <c r="F85" s="188"/>
      <c r="G85" s="188"/>
      <c r="H85" s="57"/>
      <c r="I85" s="25"/>
    </row>
    <row r="86" spans="1:9" ht="22.5" customHeight="1" x14ac:dyDescent="0.2">
      <c r="A86" s="64"/>
      <c r="B86" s="65" t="s">
        <v>214</v>
      </c>
      <c r="C86" s="66"/>
      <c r="D86" s="66"/>
      <c r="E86" s="66"/>
      <c r="F86" s="66"/>
      <c r="G86" s="66"/>
      <c r="H86" s="137"/>
      <c r="I86" s="25"/>
    </row>
    <row r="87" spans="1:9" ht="28.5" customHeight="1" x14ac:dyDescent="0.2">
      <c r="B87" s="190" t="s">
        <v>92</v>
      </c>
      <c r="C87" s="190"/>
      <c r="D87" s="190"/>
      <c r="E87" s="190"/>
      <c r="F87" s="190"/>
      <c r="G87" s="190"/>
      <c r="H87" s="57"/>
      <c r="I87" s="25"/>
    </row>
    <row r="88" spans="1:9" ht="39.75" customHeight="1" x14ac:dyDescent="0.3">
      <c r="B88" s="67" t="s">
        <v>8</v>
      </c>
      <c r="C88" s="68" t="s">
        <v>11</v>
      </c>
      <c r="D88" s="68" t="s">
        <v>9</v>
      </c>
      <c r="E88" s="68" t="s">
        <v>10</v>
      </c>
      <c r="F88" s="68" t="s">
        <v>69</v>
      </c>
      <c r="G88" s="68" t="s">
        <v>160</v>
      </c>
    </row>
    <row r="89" spans="1:9" ht="65.25" customHeight="1" x14ac:dyDescent="0.2">
      <c r="B89" s="69" t="s">
        <v>93</v>
      </c>
      <c r="C89" s="70">
        <f>SUM(D89:E89)</f>
        <v>115000</v>
      </c>
      <c r="D89" s="70">
        <f>B8/B40 +B11</f>
        <v>12000</v>
      </c>
      <c r="E89" s="70">
        <f>B15/B40+B18 +B25+B22/B40</f>
        <v>103000</v>
      </c>
      <c r="F89" s="70"/>
      <c r="G89" s="70"/>
    </row>
    <row r="90" spans="1:9" ht="54" customHeight="1" x14ac:dyDescent="0.2">
      <c r="B90" s="69" t="s">
        <v>94</v>
      </c>
      <c r="C90" s="70">
        <f>SUM(D90:G90)</f>
        <v>115000</v>
      </c>
      <c r="D90" s="70">
        <f>D89</f>
        <v>12000</v>
      </c>
      <c r="E90" s="70">
        <f>E89</f>
        <v>103000</v>
      </c>
      <c r="F90" s="70">
        <f>B29</f>
        <v>0</v>
      </c>
      <c r="G90" s="70">
        <f>B33/B40+B36</f>
        <v>0</v>
      </c>
    </row>
    <row r="91" spans="1:9" ht="81.75" hidden="1" customHeight="1" thickBot="1" x14ac:dyDescent="0.25">
      <c r="H91" s="56"/>
    </row>
    <row r="92" spans="1:9" ht="60" hidden="1" customHeight="1" thickBot="1" x14ac:dyDescent="0.25">
      <c r="H92" s="137"/>
    </row>
    <row r="93" spans="1:9" ht="60" hidden="1" customHeight="1" x14ac:dyDescent="0.2">
      <c r="H93" s="62"/>
      <c r="I93" s="14"/>
    </row>
    <row r="94" spans="1:9" x14ac:dyDescent="0.2">
      <c r="H94" s="62"/>
      <c r="I94" s="14"/>
    </row>
    <row r="95" spans="1:9" ht="30" customHeight="1" x14ac:dyDescent="0.2">
      <c r="H95" s="25"/>
      <c r="I95" s="14"/>
    </row>
    <row r="96" spans="1:9" ht="27" customHeight="1" x14ac:dyDescent="0.2">
      <c r="H96" s="25"/>
      <c r="I96" s="14"/>
    </row>
    <row r="97" spans="8:9" ht="141.75" customHeight="1" x14ac:dyDescent="0.2">
      <c r="H97" s="25"/>
      <c r="I97" s="14"/>
    </row>
    <row r="98" spans="8:9" ht="31.5" customHeight="1" x14ac:dyDescent="0.2">
      <c r="H98" s="137"/>
    </row>
    <row r="99" spans="8:9" ht="27.75" customHeight="1" x14ac:dyDescent="0.2"/>
    <row r="101" spans="8:9" ht="34.5" customHeight="1" x14ac:dyDescent="0.2"/>
    <row r="102" spans="8:9" ht="15" customHeight="1" x14ac:dyDescent="0.2"/>
    <row r="103" spans="8:9" ht="63" customHeight="1" x14ac:dyDescent="0.2"/>
    <row r="104" spans="8:9" ht="20.25" customHeight="1" x14ac:dyDescent="0.2"/>
    <row r="105" spans="8:9" ht="25.5" customHeight="1" x14ac:dyDescent="0.2"/>
    <row r="106" spans="8:9" ht="55.5" customHeight="1" x14ac:dyDescent="0.2"/>
    <row r="107" spans="8:9" ht="47.25" customHeight="1" x14ac:dyDescent="0.2"/>
    <row r="108" spans="8:9" ht="43.5" customHeight="1" x14ac:dyDescent="0.2"/>
    <row r="111" spans="8:9" ht="47.25" customHeight="1" x14ac:dyDescent="0.2"/>
  </sheetData>
  <sheetProtection algorithmName="SHA-512" hashValue="bUIS9YTiwxWFvzx5AJqsIL6FbVGTB4Y03lkGO4tXsGeYYQZ11MN+oyWVWHZMb1ECwT7XZzfDpXzIu27Nw6y3Og==" saltValue="CprPLgc0WcaQ/2AODpG2xw==" spinCount="100000" sheet="1" selectLockedCells="1"/>
  <mergeCells count="24">
    <mergeCell ref="D50:G51"/>
    <mergeCell ref="D44:G45"/>
    <mergeCell ref="D11:H12"/>
    <mergeCell ref="D29:G30"/>
    <mergeCell ref="D40:G41"/>
    <mergeCell ref="D15:G16"/>
    <mergeCell ref="D22:G23"/>
    <mergeCell ref="D47:G48"/>
    <mergeCell ref="D8:G9"/>
    <mergeCell ref="D33:G34"/>
    <mergeCell ref="D36:G37"/>
    <mergeCell ref="D25:G26"/>
    <mergeCell ref="D18:G19"/>
    <mergeCell ref="B87:G87"/>
    <mergeCell ref="A74:A75"/>
    <mergeCell ref="D78:G79"/>
    <mergeCell ref="D81:G82"/>
    <mergeCell ref="D84:G85"/>
    <mergeCell ref="A80:E80"/>
    <mergeCell ref="D62:G63"/>
    <mergeCell ref="D59:G60"/>
    <mergeCell ref="D53:G54"/>
    <mergeCell ref="D56:G57"/>
    <mergeCell ref="F66:G66"/>
  </mergeCells>
  <phoneticPr fontId="5" type="noConversion"/>
  <printOptions headings="1" gridLines="1"/>
  <pageMargins left="0.75" right="0.75" top="1" bottom="1" header="0.5" footer="0.5"/>
  <pageSetup paperSize="9" scale="84" orientation="landscape" r:id="rId1"/>
  <headerFooter alignWithMargins="0"/>
  <rowBreaks count="3" manualBreakCount="3">
    <brk id="19" max="8" man="1"/>
    <brk id="41" max="8" man="1"/>
    <brk id="85"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Group Box 1">
              <controlPr defaultSize="0" autoFill="0" autoPict="0">
                <anchor>
                  <from>
                    <xdr:col>0</xdr:col>
                    <xdr:colOff>485775</xdr:colOff>
                    <xdr:row>65</xdr:row>
                    <xdr:rowOff>228600</xdr:rowOff>
                  </from>
                  <to>
                    <xdr:col>4</xdr:col>
                    <xdr:colOff>1266825</xdr:colOff>
                    <xdr:row>65</xdr:row>
                    <xdr:rowOff>685800</xdr:rowOff>
                  </to>
                </anchor>
              </controlPr>
            </control>
          </mc:Choice>
        </mc:AlternateContent>
        <mc:AlternateContent xmlns:mc="http://schemas.openxmlformats.org/markup-compatibility/2006">
          <mc:Choice Requires="x14">
            <control shapeId="1027" r:id="rId5" name="Option Button 3">
              <controlPr locked="0" defaultSize="0" autoFill="0" autoLine="0" autoPict="0">
                <anchor>
                  <from>
                    <xdr:col>0</xdr:col>
                    <xdr:colOff>495300</xdr:colOff>
                    <xdr:row>65</xdr:row>
                    <xdr:rowOff>314325</xdr:rowOff>
                  </from>
                  <to>
                    <xdr:col>2</xdr:col>
                    <xdr:colOff>95250</xdr:colOff>
                    <xdr:row>65</xdr:row>
                    <xdr:rowOff>590550</xdr:rowOff>
                  </to>
                </anchor>
              </controlPr>
            </control>
          </mc:Choice>
        </mc:AlternateContent>
        <mc:AlternateContent xmlns:mc="http://schemas.openxmlformats.org/markup-compatibility/2006">
          <mc:Choice Requires="x14">
            <control shapeId="1028" r:id="rId6" name="Option Button 4">
              <controlPr locked="0" defaultSize="0" autoFill="0" autoLine="0" autoPict="0">
                <anchor>
                  <from>
                    <xdr:col>2</xdr:col>
                    <xdr:colOff>95250</xdr:colOff>
                    <xdr:row>65</xdr:row>
                    <xdr:rowOff>323850</xdr:rowOff>
                  </from>
                  <to>
                    <xdr:col>2</xdr:col>
                    <xdr:colOff>1247775</xdr:colOff>
                    <xdr:row>65</xdr:row>
                    <xdr:rowOff>581025</xdr:rowOff>
                  </to>
                </anchor>
              </controlPr>
            </control>
          </mc:Choice>
        </mc:AlternateContent>
        <mc:AlternateContent xmlns:mc="http://schemas.openxmlformats.org/markup-compatibility/2006">
          <mc:Choice Requires="x14">
            <control shapeId="1029" r:id="rId7" name="Option Button 5">
              <controlPr locked="0" defaultSize="0" autoFill="0" autoLine="0" autoPict="0">
                <anchor>
                  <from>
                    <xdr:col>2</xdr:col>
                    <xdr:colOff>1362075</xdr:colOff>
                    <xdr:row>65</xdr:row>
                    <xdr:rowOff>361950</xdr:rowOff>
                  </from>
                  <to>
                    <xdr:col>3</xdr:col>
                    <xdr:colOff>1095375</xdr:colOff>
                    <xdr:row>65</xdr:row>
                    <xdr:rowOff>581025</xdr:rowOff>
                  </to>
                </anchor>
              </controlPr>
            </control>
          </mc:Choice>
        </mc:AlternateContent>
        <mc:AlternateContent xmlns:mc="http://schemas.openxmlformats.org/markup-compatibility/2006">
          <mc:Choice Requires="x14">
            <control shapeId="1030" r:id="rId8" name="Option Button 6">
              <controlPr locked="0" defaultSize="0" autoFill="0" autoLine="0" autoPict="0">
                <anchor>
                  <from>
                    <xdr:col>3</xdr:col>
                    <xdr:colOff>1362075</xdr:colOff>
                    <xdr:row>65</xdr:row>
                    <xdr:rowOff>323850</xdr:rowOff>
                  </from>
                  <to>
                    <xdr:col>4</xdr:col>
                    <xdr:colOff>1076325</xdr:colOff>
                    <xdr:row>65</xdr:row>
                    <xdr:rowOff>600075</xdr:rowOff>
                  </to>
                </anchor>
              </controlPr>
            </control>
          </mc:Choice>
        </mc:AlternateContent>
        <mc:AlternateContent xmlns:mc="http://schemas.openxmlformats.org/markup-compatibility/2006">
          <mc:Choice Requires="x14">
            <control shapeId="1031" r:id="rId9" name="Group Box 7">
              <controlPr defaultSize="0" autoFill="0" autoPict="0">
                <anchor moveWithCells="1">
                  <from>
                    <xdr:col>0</xdr:col>
                    <xdr:colOff>409575</xdr:colOff>
                    <xdr:row>71</xdr:row>
                    <xdr:rowOff>0</xdr:rowOff>
                  </from>
                  <to>
                    <xdr:col>5</xdr:col>
                    <xdr:colOff>438150</xdr:colOff>
                    <xdr:row>72</xdr:row>
                    <xdr:rowOff>0</xdr:rowOff>
                  </to>
                </anchor>
              </controlPr>
            </control>
          </mc:Choice>
        </mc:AlternateContent>
        <mc:AlternateContent xmlns:mc="http://schemas.openxmlformats.org/markup-compatibility/2006">
          <mc:Choice Requires="x14">
            <control shapeId="1032" r:id="rId10" name="Option Button 8">
              <controlPr locked="0" defaultSize="0" autoFill="0" autoLine="0" autoPict="0">
                <anchor moveWithCells="1">
                  <from>
                    <xdr:col>1</xdr:col>
                    <xdr:colOff>114300</xdr:colOff>
                    <xdr:row>71</xdr:row>
                    <xdr:rowOff>95250</xdr:rowOff>
                  </from>
                  <to>
                    <xdr:col>2</xdr:col>
                    <xdr:colOff>152400</xdr:colOff>
                    <xdr:row>71</xdr:row>
                    <xdr:rowOff>400050</xdr:rowOff>
                  </to>
                </anchor>
              </controlPr>
            </control>
          </mc:Choice>
        </mc:AlternateContent>
        <mc:AlternateContent xmlns:mc="http://schemas.openxmlformats.org/markup-compatibility/2006">
          <mc:Choice Requires="x14">
            <control shapeId="1033" r:id="rId11" name="Option Button 9">
              <controlPr locked="0" defaultSize="0" autoFill="0" autoLine="0" autoPict="0">
                <anchor moveWithCells="1">
                  <from>
                    <xdr:col>1</xdr:col>
                    <xdr:colOff>752475</xdr:colOff>
                    <xdr:row>71</xdr:row>
                    <xdr:rowOff>142875</xdr:rowOff>
                  </from>
                  <to>
                    <xdr:col>2</xdr:col>
                    <xdr:colOff>723900</xdr:colOff>
                    <xdr:row>71</xdr:row>
                    <xdr:rowOff>352425</xdr:rowOff>
                  </to>
                </anchor>
              </controlPr>
            </control>
          </mc:Choice>
        </mc:AlternateContent>
        <mc:AlternateContent xmlns:mc="http://schemas.openxmlformats.org/markup-compatibility/2006">
          <mc:Choice Requires="x14">
            <control shapeId="1034" r:id="rId12" name="Option Button 10">
              <controlPr locked="0" defaultSize="0" autoFill="0" autoLine="0" autoPict="0">
                <anchor moveWithCells="1">
                  <from>
                    <xdr:col>2</xdr:col>
                    <xdr:colOff>542925</xdr:colOff>
                    <xdr:row>71</xdr:row>
                    <xdr:rowOff>133350</xdr:rowOff>
                  </from>
                  <to>
                    <xdr:col>3</xdr:col>
                    <xdr:colOff>114300</xdr:colOff>
                    <xdr:row>71</xdr:row>
                    <xdr:rowOff>342900</xdr:rowOff>
                  </to>
                </anchor>
              </controlPr>
            </control>
          </mc:Choice>
        </mc:AlternateContent>
        <mc:AlternateContent xmlns:mc="http://schemas.openxmlformats.org/markup-compatibility/2006">
          <mc:Choice Requires="x14">
            <control shapeId="1035" r:id="rId13" name="Option Button 11">
              <controlPr locked="0" defaultSize="0" autoFill="0" autoLine="0" autoPict="0">
                <anchor moveWithCells="1">
                  <from>
                    <xdr:col>2</xdr:col>
                    <xdr:colOff>1181100</xdr:colOff>
                    <xdr:row>71</xdr:row>
                    <xdr:rowOff>133350</xdr:rowOff>
                  </from>
                  <to>
                    <xdr:col>3</xdr:col>
                    <xdr:colOff>752475</xdr:colOff>
                    <xdr:row>71</xdr:row>
                    <xdr:rowOff>342900</xdr:rowOff>
                  </to>
                </anchor>
              </controlPr>
            </control>
          </mc:Choice>
        </mc:AlternateContent>
        <mc:AlternateContent xmlns:mc="http://schemas.openxmlformats.org/markup-compatibility/2006">
          <mc:Choice Requires="x14">
            <control shapeId="1036" r:id="rId14" name="Option Button 12">
              <controlPr locked="0" defaultSize="0" autoFill="0" autoLine="0" autoPict="0">
                <anchor moveWithCells="1">
                  <from>
                    <xdr:col>3</xdr:col>
                    <xdr:colOff>390525</xdr:colOff>
                    <xdr:row>71</xdr:row>
                    <xdr:rowOff>133350</xdr:rowOff>
                  </from>
                  <to>
                    <xdr:col>3</xdr:col>
                    <xdr:colOff>1390650</xdr:colOff>
                    <xdr:row>71</xdr:row>
                    <xdr:rowOff>342900</xdr:rowOff>
                  </to>
                </anchor>
              </controlPr>
            </control>
          </mc:Choice>
        </mc:AlternateContent>
        <mc:AlternateContent xmlns:mc="http://schemas.openxmlformats.org/markup-compatibility/2006">
          <mc:Choice Requires="x14">
            <control shapeId="1037" r:id="rId15" name="Option Button 13">
              <controlPr locked="0" defaultSize="0" autoFill="0" autoLine="0" autoPict="0">
                <anchor moveWithCells="1">
                  <from>
                    <xdr:col>3</xdr:col>
                    <xdr:colOff>1038225</xdr:colOff>
                    <xdr:row>71</xdr:row>
                    <xdr:rowOff>133350</xdr:rowOff>
                  </from>
                  <to>
                    <xdr:col>4</xdr:col>
                    <xdr:colOff>609600</xdr:colOff>
                    <xdr:row>71</xdr:row>
                    <xdr:rowOff>342900</xdr:rowOff>
                  </to>
                </anchor>
              </controlPr>
            </control>
          </mc:Choice>
        </mc:AlternateContent>
        <mc:AlternateContent xmlns:mc="http://schemas.openxmlformats.org/markup-compatibility/2006">
          <mc:Choice Requires="x14">
            <control shapeId="1038" r:id="rId16" name="Option Button 14">
              <controlPr locked="0" defaultSize="0" autoFill="0" autoLine="0" autoPict="0">
                <anchor moveWithCells="1">
                  <from>
                    <xdr:col>4</xdr:col>
                    <xdr:colOff>247650</xdr:colOff>
                    <xdr:row>71</xdr:row>
                    <xdr:rowOff>123825</xdr:rowOff>
                  </from>
                  <to>
                    <xdr:col>4</xdr:col>
                    <xdr:colOff>981075</xdr:colOff>
                    <xdr:row>71</xdr:row>
                    <xdr:rowOff>352425</xdr:rowOff>
                  </to>
                </anchor>
              </controlPr>
            </control>
          </mc:Choice>
        </mc:AlternateContent>
        <mc:AlternateContent xmlns:mc="http://schemas.openxmlformats.org/markup-compatibility/2006">
          <mc:Choice Requires="x14">
            <control shapeId="1039" r:id="rId17" name="Spinner 15">
              <controlPr defaultSize="0" autoPict="0">
                <anchor moveWithCells="1" sizeWithCells="1">
                  <from>
                    <xdr:col>2</xdr:col>
                    <xdr:colOff>9525</xdr:colOff>
                    <xdr:row>39</xdr:row>
                    <xdr:rowOff>0</xdr:rowOff>
                  </from>
                  <to>
                    <xdr:col>2</xdr:col>
                    <xdr:colOff>361950</xdr:colOff>
                    <xdr:row>40</xdr:row>
                    <xdr:rowOff>0</xdr:rowOff>
                  </to>
                </anchor>
              </controlPr>
            </control>
          </mc:Choice>
        </mc:AlternateContent>
        <mc:AlternateContent xmlns:mc="http://schemas.openxmlformats.org/markup-compatibility/2006">
          <mc:Choice Requires="x14">
            <control shapeId="1040" r:id="rId18" name="Spinner 16">
              <controlPr defaultSize="0" autoPict="0">
                <anchor moveWithCells="1" sizeWithCells="1">
                  <from>
                    <xdr:col>2</xdr:col>
                    <xdr:colOff>9525</xdr:colOff>
                    <xdr:row>41</xdr:row>
                    <xdr:rowOff>0</xdr:rowOff>
                  </from>
                  <to>
                    <xdr:col>2</xdr:col>
                    <xdr:colOff>361950</xdr:colOff>
                    <xdr:row>41</xdr:row>
                    <xdr:rowOff>0</xdr:rowOff>
                  </to>
                </anchor>
              </controlPr>
            </control>
          </mc:Choice>
        </mc:AlternateContent>
        <mc:AlternateContent xmlns:mc="http://schemas.openxmlformats.org/markup-compatibility/2006">
          <mc:Choice Requires="x14">
            <control shapeId="1050" r:id="rId19" name="Option Button 26">
              <controlPr locked="0" defaultSize="0" autoFill="0" autoLine="0" autoPict="0">
                <anchor moveWithCells="1">
                  <from>
                    <xdr:col>4</xdr:col>
                    <xdr:colOff>1066800</xdr:colOff>
                    <xdr:row>71</xdr:row>
                    <xdr:rowOff>114300</xdr:rowOff>
                  </from>
                  <to>
                    <xdr:col>5</xdr:col>
                    <xdr:colOff>371475</xdr:colOff>
                    <xdr:row>71</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AFDB"/>
    <pageSetUpPr fitToPage="1"/>
  </sheetPr>
  <dimension ref="A1:I36"/>
  <sheetViews>
    <sheetView showGridLines="0" showRowColHeaders="0" zoomScaleNormal="100" workbookViewId="0">
      <selection activeCell="H36" sqref="H36"/>
    </sheetView>
  </sheetViews>
  <sheetFormatPr defaultRowHeight="12.75" x14ac:dyDescent="0.2"/>
  <cols>
    <col min="1" max="1" width="28.5703125" style="1" customWidth="1"/>
    <col min="2" max="3" width="21.7109375" style="1" customWidth="1"/>
    <col min="4" max="4" width="20.5703125" style="1" customWidth="1"/>
    <col min="5" max="5" width="19.85546875" style="1" customWidth="1"/>
    <col min="6" max="6" width="28.85546875" style="1" customWidth="1"/>
    <col min="7" max="7" width="16.7109375" style="1" customWidth="1"/>
    <col min="8" max="8" width="18.7109375" style="1" customWidth="1"/>
    <col min="9" max="9" width="2.28515625" style="1" customWidth="1"/>
    <col min="10" max="16384" width="9.140625" style="1"/>
  </cols>
  <sheetData>
    <row r="1" spans="1:8" ht="8.25" customHeight="1" x14ac:dyDescent="0.2">
      <c r="A1" s="1" t="s">
        <v>1</v>
      </c>
    </row>
    <row r="2" spans="1:8" ht="35.25" customHeight="1" x14ac:dyDescent="0.2">
      <c r="A2" s="79" t="s">
        <v>95</v>
      </c>
      <c r="B2" s="80"/>
      <c r="C2" s="80"/>
      <c r="D2" s="80"/>
      <c r="E2" s="80"/>
      <c r="F2" s="80"/>
      <c r="G2" s="80"/>
      <c r="H2" s="80"/>
    </row>
    <row r="3" spans="1:8" ht="27" customHeight="1" x14ac:dyDescent="0.2">
      <c r="A3" s="81" t="s">
        <v>96</v>
      </c>
    </row>
    <row r="4" spans="1:8" ht="21" customHeight="1" x14ac:dyDescent="0.2">
      <c r="A4" s="82" t="s">
        <v>97</v>
      </c>
      <c r="B4" s="80"/>
      <c r="C4" s="80"/>
      <c r="D4" s="80"/>
      <c r="E4" s="80"/>
      <c r="F4" s="80"/>
      <c r="G4" s="80"/>
    </row>
    <row r="5" spans="1:8" ht="18" customHeight="1" x14ac:dyDescent="0.2"/>
    <row r="6" spans="1:8" ht="75" customHeight="1" x14ac:dyDescent="0.2">
      <c r="A6" s="83"/>
      <c r="B6" s="83" t="s">
        <v>98</v>
      </c>
      <c r="C6" s="83" t="s">
        <v>99</v>
      </c>
      <c r="D6" s="83" t="s">
        <v>100</v>
      </c>
      <c r="E6" s="83" t="s">
        <v>101</v>
      </c>
      <c r="F6" s="83" t="s">
        <v>12</v>
      </c>
      <c r="G6" s="84" t="s">
        <v>102</v>
      </c>
      <c r="H6" s="84" t="s">
        <v>103</v>
      </c>
    </row>
    <row r="7" spans="1:8" ht="63.75" customHeight="1" x14ac:dyDescent="0.2">
      <c r="A7" s="85" t="s">
        <v>20</v>
      </c>
      <c r="B7" s="86">
        <f>('Data Input'!B44-'Data Input'!B62)*Impacts!H5</f>
        <v>76.914594038193073</v>
      </c>
      <c r="C7" s="87"/>
      <c r="D7" s="88">
        <f>'Data Input'!C89</f>
        <v>115000</v>
      </c>
      <c r="E7" s="89">
        <f>D7/B7</f>
        <v>1495.1648830506088</v>
      </c>
      <c r="F7" s="85" t="s">
        <v>105</v>
      </c>
      <c r="G7" s="89">
        <f>E7*Impacts!H9/Impacts!H5</f>
        <v>1644.6813713556701</v>
      </c>
      <c r="H7" s="89">
        <f>E7*Impacts!H12/Impacts!H5</f>
        <v>1345.6483947455479</v>
      </c>
    </row>
    <row r="8" spans="1:8" ht="59.25" customHeight="1" x14ac:dyDescent="0.2">
      <c r="A8" s="85" t="s">
        <v>104</v>
      </c>
      <c r="B8" s="90"/>
      <c r="C8" s="89">
        <f>'National Data'!B23*'Results '!B7</f>
        <v>816946.22320670623</v>
      </c>
      <c r="D8" s="88">
        <f>D7-C8</f>
        <v>-701946.22320670623</v>
      </c>
      <c r="E8" s="89">
        <f>D8/B7</f>
        <v>-9126.3073280754033</v>
      </c>
      <c r="F8" s="85" t="s">
        <v>106</v>
      </c>
      <c r="G8" s="89">
        <f>E8*Impacts!H9/Impacts!H5</f>
        <v>-10038.938060882945</v>
      </c>
      <c r="H8" s="89">
        <f>E8*Impacts!H12/Impacts!H5</f>
        <v>-8213.6765952678634</v>
      </c>
    </row>
    <row r="9" spans="1:8" ht="59.25" customHeight="1" x14ac:dyDescent="0.2">
      <c r="A9" s="85" t="s">
        <v>109</v>
      </c>
      <c r="B9" s="91"/>
      <c r="C9" s="89">
        <f>B7*'National Data'!E29</f>
        <v>166474.32950478315</v>
      </c>
      <c r="D9" s="88">
        <f>D7-C8-C9-C10</f>
        <v>-884288.90388606535</v>
      </c>
      <c r="E9" s="89">
        <f>D9/B7</f>
        <v>-11497.023613580521</v>
      </c>
      <c r="F9" s="196" t="s">
        <v>107</v>
      </c>
      <c r="G9" s="89">
        <f>E9*Impacts!H9/Impacts!H5</f>
        <v>-12646.725974938576</v>
      </c>
      <c r="H9" s="89">
        <f>E7*Impacts!H12/Impacts!H5</f>
        <v>1345.6483947455479</v>
      </c>
    </row>
    <row r="10" spans="1:8" ht="43.5" customHeight="1" x14ac:dyDescent="0.2">
      <c r="A10" s="85" t="s">
        <v>110</v>
      </c>
      <c r="B10" s="91"/>
      <c r="C10" s="89">
        <f>'National Data'!E28*'Results '!B7</f>
        <v>15868.351174575997</v>
      </c>
      <c r="D10" s="88"/>
      <c r="E10" s="89"/>
      <c r="F10" s="196"/>
      <c r="G10" s="89"/>
      <c r="H10" s="89"/>
    </row>
    <row r="11" spans="1:8" ht="53.25" customHeight="1" x14ac:dyDescent="0.2">
      <c r="A11" s="138" t="s">
        <v>170</v>
      </c>
      <c r="B11" s="176">
        <f>B7/('Data Input'!B44-'Data Input'!B62)</f>
        <v>0.15382918807638615</v>
      </c>
      <c r="C11" s="87"/>
      <c r="D11" s="92"/>
      <c r="E11" s="92"/>
      <c r="F11" s="85" t="s">
        <v>108</v>
      </c>
      <c r="G11" s="177">
        <f>B11*Impacts!H9/Impacts!H5</f>
        <v>0.1692121068840248</v>
      </c>
      <c r="H11" s="177">
        <f>B11*Impacts!H12/Impacts!H5</f>
        <v>0.13844626926874753</v>
      </c>
    </row>
    <row r="12" spans="1:8" ht="53.25" customHeight="1" x14ac:dyDescent="0.2">
      <c r="A12" s="146" t="s">
        <v>199</v>
      </c>
      <c r="B12" s="86">
        <f>'National Data'!B21*B7/'National Data'!C17</f>
        <v>8.163907770147274</v>
      </c>
      <c r="C12" s="87"/>
      <c r="D12" s="92"/>
      <c r="E12" s="92"/>
      <c r="F12" s="146" t="s">
        <v>200</v>
      </c>
      <c r="G12" s="169">
        <f>B12*Impacts!H9/Impacts!H5</f>
        <v>8.980298547162004</v>
      </c>
      <c r="H12" s="169">
        <f>B12*Impacts!H12/Impacts!H5</f>
        <v>7.3475169931325457</v>
      </c>
    </row>
    <row r="13" spans="1:8" ht="53.25" customHeight="1" x14ac:dyDescent="0.2">
      <c r="A13" s="85" t="s">
        <v>73</v>
      </c>
      <c r="B13" s="86">
        <f>B7*'National Data'!B20/'National Data'!C17</f>
        <v>0.17149875697705214</v>
      </c>
      <c r="C13" s="87"/>
      <c r="D13" s="92"/>
      <c r="E13" s="92"/>
      <c r="F13" s="85" t="s">
        <v>72</v>
      </c>
      <c r="G13" s="93">
        <f>B13*Impacts!H9/Impacts!H5</f>
        <v>0.1886486326747574</v>
      </c>
      <c r="H13" s="93">
        <f>B13*Impacts!H12/Impacts!H5</f>
        <v>0.15434888127934693</v>
      </c>
    </row>
    <row r="14" spans="1:8" ht="53.25" customHeight="1" x14ac:dyDescent="0.2">
      <c r="A14" s="85" t="s">
        <v>74</v>
      </c>
      <c r="B14" s="86">
        <f>B7*'National Data'!B18/'National Data'!C17</f>
        <v>3.6907477398194271</v>
      </c>
      <c r="C14" s="94"/>
      <c r="D14" s="95"/>
      <c r="E14" s="95"/>
      <c r="F14" s="85" t="s">
        <v>74</v>
      </c>
      <c r="G14" s="93">
        <f>B14*Impacts!H9/Impacts!H5</f>
        <v>4.0598225138013708</v>
      </c>
      <c r="H14" s="93">
        <f>B14*Impacts!H12/Impacts!H5</f>
        <v>3.3216729658374846</v>
      </c>
    </row>
    <row r="15" spans="1:8" ht="33.75" customHeight="1" x14ac:dyDescent="0.2">
      <c r="A15" s="85" t="s">
        <v>75</v>
      </c>
      <c r="B15" s="86">
        <f>B7*0.754-B14</f>
        <v>54.302856164978145</v>
      </c>
      <c r="C15" s="94"/>
      <c r="D15" s="95"/>
      <c r="E15" s="95"/>
      <c r="F15" s="146" t="s">
        <v>202</v>
      </c>
      <c r="G15" s="93">
        <f>B15*Impacts!H9/Impacts!H5</f>
        <v>59.733141781475965</v>
      </c>
      <c r="H15" s="93">
        <f>B15*Impacts!H12/Impacts!H5</f>
        <v>48.872570548480326</v>
      </c>
    </row>
    <row r="16" spans="1:8" ht="40.5" customHeight="1" x14ac:dyDescent="0.2">
      <c r="A16" s="146" t="s">
        <v>203</v>
      </c>
      <c r="B16" s="170">
        <f>'Data Input'!B44/'Results '!B13</f>
        <v>2915.4730262383409</v>
      </c>
      <c r="C16" s="197" t="s">
        <v>201</v>
      </c>
      <c r="D16" s="198"/>
      <c r="E16" s="198"/>
      <c r="F16" s="146" t="s">
        <v>203</v>
      </c>
      <c r="G16" s="170">
        <f>B16*Impacts!H9/Impacts!H5</f>
        <v>3207.0203288621756</v>
      </c>
      <c r="H16" s="170">
        <f>B16*Impacts!H12/Impacts!H5</f>
        <v>2623.9257236145068</v>
      </c>
    </row>
    <row r="17" spans="1:9" ht="36" customHeight="1" x14ac:dyDescent="0.2">
      <c r="A17" s="146" t="s">
        <v>204</v>
      </c>
      <c r="B17" s="170">
        <f>'Data Input'!B44/'Results '!B12</f>
        <v>61.245179891465163</v>
      </c>
      <c r="C17" s="197" t="s">
        <v>205</v>
      </c>
      <c r="D17" s="199"/>
      <c r="E17" s="199"/>
      <c r="F17" s="146" t="s">
        <v>215</v>
      </c>
      <c r="G17" s="170">
        <f>B17*Impacts!H9/Impacts!H5</f>
        <v>67.369697880611696</v>
      </c>
      <c r="H17" s="170">
        <f>B17*Impacts!H12/Impacts!H5</f>
        <v>55.120661902318645</v>
      </c>
    </row>
    <row r="18" spans="1:9" ht="27.75" customHeight="1" x14ac:dyDescent="0.2"/>
    <row r="19" spans="1:9" ht="45.75" customHeight="1" x14ac:dyDescent="0.2">
      <c r="A19" s="82" t="s">
        <v>232</v>
      </c>
      <c r="B19" s="80"/>
      <c r="C19" s="80"/>
      <c r="D19" s="80"/>
      <c r="E19" s="80"/>
      <c r="F19" s="80"/>
      <c r="G19" s="80"/>
    </row>
    <row r="20" spans="1:9" ht="101.25" customHeight="1" x14ac:dyDescent="0.2">
      <c r="A20" s="83"/>
      <c r="B20" s="83" t="s">
        <v>49</v>
      </c>
      <c r="C20" s="83" t="s">
        <v>35</v>
      </c>
      <c r="D20" s="83" t="s">
        <v>111</v>
      </c>
      <c r="E20" s="83" t="s">
        <v>206</v>
      </c>
      <c r="F20" s="83" t="s">
        <v>16</v>
      </c>
      <c r="G20" s="83" t="s">
        <v>17</v>
      </c>
      <c r="H20" s="96" t="s">
        <v>0</v>
      </c>
      <c r="I20" s="96"/>
    </row>
    <row r="21" spans="1:9" ht="69.75" customHeight="1" x14ac:dyDescent="0.2">
      <c r="A21" s="85" t="s">
        <v>14</v>
      </c>
      <c r="B21" s="88">
        <f>'Social  '!B7*B7</f>
        <v>106837.56050378972</v>
      </c>
      <c r="C21" s="88">
        <f>'Social  '!B8*B7</f>
        <v>6253.8329061549048</v>
      </c>
      <c r="D21" s="88">
        <f>'Social  '!B9*B7</f>
        <v>19185.183259846097</v>
      </c>
      <c r="E21" s="88">
        <f>'Social  '!C30</f>
        <v>82643.94645124214</v>
      </c>
      <c r="F21" s="88">
        <f>'Social  '!B10*B7</f>
        <v>0</v>
      </c>
      <c r="G21" s="89">
        <f>B21+C21+D21+E21-F21</f>
        <v>214920.52312103286</v>
      </c>
      <c r="H21" s="195" t="s">
        <v>171</v>
      </c>
      <c r="I21" s="195"/>
    </row>
    <row r="22" spans="1:9" ht="47.25" customHeight="1" x14ac:dyDescent="0.2">
      <c r="A22" s="97" t="s">
        <v>112</v>
      </c>
      <c r="B22" s="98"/>
      <c r="C22" s="98"/>
      <c r="D22" s="98"/>
      <c r="E22" s="98"/>
      <c r="F22" s="98"/>
      <c r="G22" s="18"/>
    </row>
    <row r="23" spans="1:9" ht="78" customHeight="1" x14ac:dyDescent="0.2">
      <c r="A23" s="83"/>
      <c r="B23" s="83" t="s">
        <v>31</v>
      </c>
      <c r="C23" s="83" t="s">
        <v>32</v>
      </c>
      <c r="D23" s="83" t="s">
        <v>33</v>
      </c>
      <c r="E23" s="83" t="s">
        <v>236</v>
      </c>
      <c r="F23" s="96" t="s">
        <v>0</v>
      </c>
      <c r="G23" s="96"/>
    </row>
    <row r="24" spans="1:9" ht="73.5" customHeight="1" x14ac:dyDescent="0.2">
      <c r="A24" s="85" t="s">
        <v>42</v>
      </c>
      <c r="B24" s="88">
        <f>B7*'Social  '!B15*'Data Input'!B81</f>
        <v>12398.934925911173</v>
      </c>
      <c r="C24" s="88">
        <f>'Social  '!B16*'Results '!B7*'Data Input'!B81</f>
        <v>12398.934925911173</v>
      </c>
      <c r="D24" s="88">
        <f>'Data Input'!G90</f>
        <v>0</v>
      </c>
      <c r="E24" s="99">
        <f>(B24+C24-D24)*0.9</f>
        <v>22318.082866640114</v>
      </c>
      <c r="F24" s="195" t="s">
        <v>57</v>
      </c>
      <c r="G24" s="195"/>
      <c r="H24" s="100"/>
    </row>
    <row r="25" spans="1:9" ht="51" customHeight="1" x14ac:dyDescent="0.2">
      <c r="A25" s="97" t="s">
        <v>113</v>
      </c>
      <c r="B25" s="101"/>
      <c r="C25" s="101"/>
      <c r="D25" s="101"/>
      <c r="E25" s="101"/>
      <c r="F25" s="101"/>
      <c r="G25" s="101"/>
    </row>
    <row r="26" spans="1:9" ht="84.75" customHeight="1" x14ac:dyDescent="0.2">
      <c r="A26" s="83"/>
      <c r="B26" s="83" t="s">
        <v>50</v>
      </c>
      <c r="C26" s="83" t="s">
        <v>34</v>
      </c>
      <c r="D26" s="83" t="s">
        <v>212</v>
      </c>
      <c r="E26" s="83" t="s">
        <v>59</v>
      </c>
      <c r="F26" s="83" t="s">
        <v>43</v>
      </c>
      <c r="G26" s="96" t="s">
        <v>0</v>
      </c>
      <c r="H26" s="18"/>
    </row>
    <row r="27" spans="1:9" ht="71.25" customHeight="1" x14ac:dyDescent="0.2">
      <c r="A27" s="85" t="s">
        <v>51</v>
      </c>
      <c r="B27" s="88">
        <f>'Social  '!B22*'Results '!B7</f>
        <v>-28077.751037922011</v>
      </c>
      <c r="C27" s="88">
        <f>'Social  '!B23*'Results '!B7</f>
        <v>5641.9773592712945</v>
      </c>
      <c r="D27" s="88">
        <f>'Social  '!B24*'Results '!B7</f>
        <v>67269.307200038005</v>
      </c>
      <c r="E27" s="88">
        <f>-D9</f>
        <v>884288.90388606535</v>
      </c>
      <c r="F27" s="99">
        <f>B27+C27+D27+E27</f>
        <v>929122.43740745261</v>
      </c>
      <c r="G27" s="195" t="s">
        <v>44</v>
      </c>
      <c r="H27" s="195"/>
    </row>
    <row r="28" spans="1:9" ht="76.5" hidden="1" customHeight="1" thickBot="1" x14ac:dyDescent="0.25"/>
    <row r="29" spans="1:9" ht="48.75" customHeight="1" x14ac:dyDescent="0.2">
      <c r="A29" s="97" t="s">
        <v>114</v>
      </c>
      <c r="B29" s="101"/>
      <c r="C29" s="101"/>
      <c r="D29" s="101"/>
      <c r="E29" s="101"/>
      <c r="F29" s="101"/>
      <c r="G29" s="101"/>
    </row>
    <row r="30" spans="1:9" ht="107.25" customHeight="1" x14ac:dyDescent="0.2">
      <c r="A30" s="83"/>
      <c r="B30" s="83" t="s">
        <v>62</v>
      </c>
      <c r="C30" s="83" t="s">
        <v>76</v>
      </c>
      <c r="D30" s="83" t="s">
        <v>38</v>
      </c>
      <c r="E30" s="83" t="s">
        <v>207</v>
      </c>
      <c r="F30" s="102"/>
      <c r="G30" s="175"/>
    </row>
    <row r="31" spans="1:9" ht="58.5" customHeight="1" x14ac:dyDescent="0.2">
      <c r="A31" s="85" t="s">
        <v>39</v>
      </c>
      <c r="B31" s="99">
        <f>'Social  '!C31</f>
        <v>1538291.8807638614</v>
      </c>
      <c r="C31" s="99">
        <f>'Social  '!C33</f>
        <v>1897828.3657525985</v>
      </c>
      <c r="D31" s="99">
        <f>'Social  '!C34</f>
        <v>1715972.6668259574</v>
      </c>
      <c r="E31" s="171">
        <f>'Social  '!B35</f>
        <v>2.0541773863592852</v>
      </c>
      <c r="F31" s="172"/>
    </row>
    <row r="32" spans="1:9" ht="30" customHeight="1" x14ac:dyDescent="0.2">
      <c r="A32" s="7"/>
      <c r="B32" s="7"/>
      <c r="C32" s="7"/>
      <c r="D32" s="7"/>
      <c r="E32" s="7"/>
      <c r="F32" s="7"/>
      <c r="G32" s="7"/>
    </row>
    <row r="33" spans="1:7" ht="60.75" customHeight="1" x14ac:dyDescent="0.2">
      <c r="A33" s="173" t="s">
        <v>208</v>
      </c>
      <c r="B33" s="173"/>
      <c r="C33" s="173"/>
      <c r="D33" s="173"/>
      <c r="E33" s="173"/>
      <c r="F33" s="173"/>
      <c r="G33" s="173"/>
    </row>
    <row r="34" spans="1:7" ht="63" customHeight="1" x14ac:dyDescent="0.2">
      <c r="A34" s="84" t="s">
        <v>209</v>
      </c>
      <c r="B34" s="200" t="s">
        <v>213</v>
      </c>
      <c r="C34" s="201"/>
      <c r="D34" s="201"/>
      <c r="E34" s="202" t="s">
        <v>0</v>
      </c>
      <c r="F34" s="202"/>
      <c r="G34" s="202"/>
    </row>
    <row r="35" spans="1:7" ht="89.25" customHeight="1" x14ac:dyDescent="0.2">
      <c r="A35" s="146" t="s">
        <v>211</v>
      </c>
      <c r="B35" s="174">
        <f>C35*Impacts!H9/Impacts!H5</f>
        <v>11.156496936822942</v>
      </c>
      <c r="C35" s="174">
        <f>(G21+E24+F27)/'Data Input'!C90</f>
        <v>10.142269942566308</v>
      </c>
      <c r="D35" s="174">
        <f>C35*Impacts!H12/Impacts!H5</f>
        <v>9.1280429483096768</v>
      </c>
      <c r="E35" s="195" t="s">
        <v>246</v>
      </c>
      <c r="F35" s="195"/>
      <c r="G35" s="195"/>
    </row>
    <row r="36" spans="1:7" ht="75.75" customHeight="1" x14ac:dyDescent="0.2">
      <c r="A36" s="146" t="s">
        <v>210</v>
      </c>
      <c r="B36" s="86">
        <f>C36*Impacts!H9/Impacts!H5</f>
        <v>14.714096250784763</v>
      </c>
      <c r="C36" s="86">
        <f>B31/'Data Input'!C90</f>
        <v>13.376451137077055</v>
      </c>
      <c r="D36" s="86">
        <f>C36*Impacts!H12/Impacts!H5</f>
        <v>12.03880602336935</v>
      </c>
      <c r="E36" s="195" t="s">
        <v>265</v>
      </c>
      <c r="F36" s="195"/>
      <c r="G36" s="195"/>
    </row>
  </sheetData>
  <sheetProtection password="CC4D" sheet="1" objects="1" scenarios="1" selectLockedCells="1" selectUnlockedCells="1"/>
  <mergeCells count="10">
    <mergeCell ref="E35:G35"/>
    <mergeCell ref="E36:G36"/>
    <mergeCell ref="H21:I21"/>
    <mergeCell ref="F24:G24"/>
    <mergeCell ref="F9:F10"/>
    <mergeCell ref="G27:H27"/>
    <mergeCell ref="C16:E16"/>
    <mergeCell ref="C17:E17"/>
    <mergeCell ref="B34:D34"/>
    <mergeCell ref="E34:G34"/>
  </mergeCells>
  <phoneticPr fontId="5" type="noConversion"/>
  <pageMargins left="0.75" right="0.75" top="1" bottom="1" header="0.5" footer="0.5"/>
  <pageSetup paperSize="9" scale="74" fitToHeight="0" orientation="landscape" r:id="rId1"/>
  <headerFooter alignWithMargins="0"/>
  <rowBreaks count="3" manualBreakCount="3">
    <brk id="14" max="8" man="1"/>
    <brk id="24" max="8" man="1"/>
    <brk id="32"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57"/>
  </sheetPr>
  <dimension ref="A1:M20"/>
  <sheetViews>
    <sheetView showGridLines="0" showRowColHeaders="0" topLeftCell="A10" zoomScaleNormal="100" workbookViewId="0">
      <selection activeCell="B6" sqref="B6:H6"/>
    </sheetView>
  </sheetViews>
  <sheetFormatPr defaultRowHeight="12.75" x14ac:dyDescent="0.2"/>
  <cols>
    <col min="1" max="1" width="21.7109375" style="1" customWidth="1"/>
    <col min="2" max="2" width="22.5703125" style="1" customWidth="1"/>
    <col min="3" max="3" width="20.140625" style="1" customWidth="1"/>
    <col min="4" max="4" width="15.140625" style="1" customWidth="1"/>
    <col min="5" max="5" width="15" style="1" customWidth="1"/>
    <col min="6" max="6" width="15.7109375" style="1" customWidth="1"/>
    <col min="7" max="7" width="15" style="1" customWidth="1"/>
    <col min="8" max="8" width="15.140625" style="1" customWidth="1"/>
    <col min="9" max="9" width="1.140625" style="1" hidden="1" customWidth="1"/>
    <col min="10" max="10" width="4" style="1" customWidth="1"/>
    <col min="11" max="16384" width="9.140625" style="1"/>
  </cols>
  <sheetData>
    <row r="1" spans="1:13" ht="23.25" customHeight="1" x14ac:dyDescent="0.2">
      <c r="A1" s="80"/>
      <c r="B1" s="80"/>
      <c r="C1" s="80"/>
      <c r="D1" s="80"/>
      <c r="E1" s="80"/>
      <c r="F1" s="80"/>
      <c r="G1" s="80"/>
      <c r="H1" s="80"/>
      <c r="I1" s="80"/>
      <c r="J1" s="80"/>
    </row>
    <row r="2" spans="1:13" ht="36.75" customHeight="1" x14ac:dyDescent="0.2">
      <c r="A2" s="103" t="s">
        <v>27</v>
      </c>
      <c r="B2" s="80"/>
      <c r="C2" s="80"/>
      <c r="D2" s="80"/>
      <c r="E2" s="80"/>
      <c r="F2" s="80"/>
      <c r="G2" s="80"/>
      <c r="H2" s="80"/>
      <c r="I2" s="80"/>
      <c r="J2" s="80"/>
    </row>
    <row r="3" spans="1:13" ht="54.75" customHeight="1" x14ac:dyDescent="0.2">
      <c r="A3" s="104" t="s">
        <v>115</v>
      </c>
      <c r="B3" s="105"/>
      <c r="C3" s="105"/>
      <c r="D3" s="105"/>
      <c r="E3" s="105"/>
      <c r="F3" s="105"/>
      <c r="G3" s="105"/>
      <c r="H3" s="105"/>
      <c r="I3" s="105"/>
      <c r="J3" s="105"/>
    </row>
    <row r="4" spans="1:13" ht="81.75" customHeight="1" x14ac:dyDescent="0.25">
      <c r="A4" s="106" t="s">
        <v>166</v>
      </c>
      <c r="B4" s="83" t="s">
        <v>174</v>
      </c>
      <c r="C4" s="83" t="s">
        <v>163</v>
      </c>
      <c r="D4" s="83" t="s">
        <v>164</v>
      </c>
      <c r="E4" s="83" t="s">
        <v>165</v>
      </c>
      <c r="F4" s="83" t="s">
        <v>175</v>
      </c>
      <c r="G4" s="83" t="s">
        <v>161</v>
      </c>
      <c r="H4" s="83" t="s">
        <v>162</v>
      </c>
      <c r="I4" s="96"/>
      <c r="J4" s="18"/>
    </row>
    <row r="5" spans="1:13" ht="99.75" customHeight="1" x14ac:dyDescent="0.2">
      <c r="A5" s="139" t="s">
        <v>183</v>
      </c>
      <c r="B5" s="148">
        <f>IF('Data Input'!B68=1,'Data Input'!B47,1)*IF('Data Input'!C68=1,'Data Input'!B50,1)*IF('Data Input'!D68=1,'Data Input'!B53,1)*IF('Data Input'!E68=1,'Data Input'!B56,1)</f>
        <v>1.4E-2</v>
      </c>
      <c r="C5" s="148">
        <v>0</v>
      </c>
      <c r="D5" s="141">
        <v>1</v>
      </c>
      <c r="E5" s="141">
        <v>0.9</v>
      </c>
      <c r="F5" s="141">
        <v>0</v>
      </c>
      <c r="G5" s="141">
        <f>(B5-C5)*('Look Up Tables'!B6*POWER(E5,0)+D5*('Look Up Tables'!B7*POWER(E5,1)+'Look Up Tables'!B8*POWER(E5,2)+'Look Up Tables'!B9*POWER(E5,3)+'Look Up Tables'!B10*POWER(E5,4)+'Look Up Tables'!B11*POWER(E5,5)+'Look Up Tables'!B12*POWER(E5,6)+'Look Up Tables'!B13*POWER(E5,7)+'Look Up Tables'!B14*POWER(E5,8)+'Look Up Tables'!B15*POWER(E5,9)+POWER(E5,10)*('Look Up Tables'!C55-'Look Up Tables'!C16)))</f>
        <v>0.15382918807638615</v>
      </c>
      <c r="H5" s="142">
        <f>G5*'National Data'!C17</f>
        <v>0.15382918807638615</v>
      </c>
      <c r="I5" s="203"/>
      <c r="J5" s="203"/>
      <c r="K5" s="143"/>
    </row>
    <row r="6" spans="1:13" ht="36.75" customHeight="1" x14ac:dyDescent="0.2">
      <c r="A6" s="179" t="s">
        <v>0</v>
      </c>
      <c r="B6" s="205" t="s">
        <v>185</v>
      </c>
      <c r="C6" s="206"/>
      <c r="D6" s="206"/>
      <c r="E6" s="206"/>
      <c r="F6" s="206"/>
      <c r="G6" s="206"/>
      <c r="H6" s="206"/>
    </row>
    <row r="7" spans="1:13" ht="48" customHeight="1" x14ac:dyDescent="0.2">
      <c r="A7" s="104" t="s">
        <v>169</v>
      </c>
      <c r="I7" s="80"/>
      <c r="J7" s="80"/>
      <c r="K7" s="105"/>
      <c r="L7" s="105"/>
      <c r="M7" s="18"/>
    </row>
    <row r="8" spans="1:13" ht="81.75" customHeight="1" x14ac:dyDescent="0.25">
      <c r="A8" s="106" t="s">
        <v>166</v>
      </c>
      <c r="B8" s="83" t="s">
        <v>174</v>
      </c>
      <c r="C8" s="83" t="s">
        <v>163</v>
      </c>
      <c r="D8" s="83" t="s">
        <v>164</v>
      </c>
      <c r="E8" s="83" t="s">
        <v>165</v>
      </c>
      <c r="F8" s="83" t="s">
        <v>176</v>
      </c>
      <c r="G8" s="83" t="s">
        <v>161</v>
      </c>
      <c r="H8" s="83" t="s">
        <v>162</v>
      </c>
      <c r="I8" s="96"/>
      <c r="J8" s="18"/>
      <c r="K8" s="105"/>
      <c r="L8" s="105"/>
      <c r="M8" s="18"/>
    </row>
    <row r="9" spans="1:13" ht="95.25" customHeight="1" x14ac:dyDescent="0.2">
      <c r="A9" s="138" t="s">
        <v>167</v>
      </c>
      <c r="B9" s="148">
        <f>B5*1.1</f>
        <v>1.5400000000000002E-2</v>
      </c>
      <c r="C9" s="148">
        <v>0</v>
      </c>
      <c r="D9" s="141">
        <v>1</v>
      </c>
      <c r="E9" s="141">
        <v>0.9</v>
      </c>
      <c r="F9" s="141">
        <v>0</v>
      </c>
      <c r="G9" s="141">
        <f>(B9-C9)*('Look Up Tables'!B6*POWER(E9,0)+D9*('Look Up Tables'!B7*POWER(E9,1)+'Look Up Tables'!B8*POWER(E9,2)+'Look Up Tables'!B9*POWER(E9,3)+'Look Up Tables'!B10*POWER(E9,4)+'Look Up Tables'!B11*POWER(E9,5)+'Look Up Tables'!B12*POWER(E9,6)+'Look Up Tables'!B13*POWER(E9,7)+'Look Up Tables'!B14*POWER(E9,8)+'Look Up Tables'!B15*POWER(E9,9)+POWER(E9,10)*('Look Up Tables'!C55-'Look Up Tables'!C16)))</f>
        <v>0.1692121068840248</v>
      </c>
      <c r="H9" s="142">
        <f>G9*'National Data'!C17</f>
        <v>0.1692121068840248</v>
      </c>
      <c r="I9" s="204"/>
      <c r="J9" s="204"/>
      <c r="K9" s="108"/>
      <c r="L9" s="109"/>
    </row>
    <row r="10" spans="1:13" ht="49.5" customHeight="1" x14ac:dyDescent="0.2">
      <c r="A10" s="104" t="s">
        <v>168</v>
      </c>
      <c r="B10" s="80"/>
      <c r="C10" s="105"/>
      <c r="D10" s="105"/>
      <c r="E10" s="105"/>
    </row>
    <row r="11" spans="1:13" ht="81.75" customHeight="1" x14ac:dyDescent="0.25">
      <c r="A11" s="106" t="s">
        <v>166</v>
      </c>
      <c r="B11" s="83" t="s">
        <v>174</v>
      </c>
      <c r="C11" s="83" t="s">
        <v>163</v>
      </c>
      <c r="D11" s="83" t="s">
        <v>164</v>
      </c>
      <c r="E11" s="83" t="s">
        <v>165</v>
      </c>
      <c r="F11" s="83" t="s">
        <v>176</v>
      </c>
      <c r="G11" s="83" t="s">
        <v>161</v>
      </c>
      <c r="H11" s="83" t="s">
        <v>162</v>
      </c>
    </row>
    <row r="12" spans="1:13" ht="95.25" customHeight="1" x14ac:dyDescent="0.2">
      <c r="A12" s="138" t="s">
        <v>167</v>
      </c>
      <c r="B12" s="148">
        <f>B5*0.9</f>
        <v>1.26E-2</v>
      </c>
      <c r="C12" s="148">
        <v>0</v>
      </c>
      <c r="D12" s="141">
        <v>1</v>
      </c>
      <c r="E12" s="141">
        <v>0.9</v>
      </c>
      <c r="F12" s="141">
        <v>0</v>
      </c>
      <c r="G12" s="141">
        <f>(B12-C12)*('Look Up Tables'!B6*POWER(E12,0)+D12*('Look Up Tables'!B7*POWER(E12,1)+'Look Up Tables'!B8*POWER(E12,2)+'Look Up Tables'!B9*POWER(E12,3)+'Look Up Tables'!B10*POWER(E12,4)+'Look Up Tables'!B11*POWER(E12,5)+'Look Up Tables'!B12*POWER(E12,6)+'Look Up Tables'!B13*POWER(E12,7)+'Look Up Tables'!B14*POWER(E12,8)+'Look Up Tables'!B15*POWER(E12,9)+POWER(E12,10)*('Look Up Tables'!C55-'Look Up Tables'!C16)))</f>
        <v>0.13844626926874753</v>
      </c>
      <c r="H12" s="142">
        <f>G12*'National Data'!C17</f>
        <v>0.13844626926874753</v>
      </c>
      <c r="I12" s="204"/>
      <c r="J12" s="204"/>
    </row>
    <row r="13" spans="1:13" ht="15" customHeight="1" x14ac:dyDescent="0.2"/>
    <row r="14" spans="1:13" ht="97.5" customHeight="1" x14ac:dyDescent="0.2"/>
    <row r="19" ht="99.75" customHeight="1" x14ac:dyDescent="0.2"/>
    <row r="20" ht="117.75" customHeight="1" x14ac:dyDescent="0.2"/>
  </sheetData>
  <sheetProtection password="CC4D" sheet="1" objects="1" scenarios="1" selectLockedCells="1" selectUnlockedCells="1"/>
  <mergeCells count="4">
    <mergeCell ref="I5:J5"/>
    <mergeCell ref="I9:J9"/>
    <mergeCell ref="I12:J12"/>
    <mergeCell ref="B6:H6"/>
  </mergeCells>
  <phoneticPr fontId="5" type="noConversion"/>
  <pageMargins left="0.75" right="0.75" top="1" bottom="1" header="0.5" footer="0.5"/>
  <pageSetup paperSize="9" scale="91" orientation="landscape" r:id="rId1"/>
  <headerFooter alignWithMargins="0"/>
  <rowBreaks count="1" manualBreakCount="1">
    <brk id="6"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38"/>
  <sheetViews>
    <sheetView showGridLines="0" showRowColHeaders="0" zoomScaleNormal="100" workbookViewId="0">
      <selection activeCell="D11" sqref="D11:G11"/>
    </sheetView>
  </sheetViews>
  <sheetFormatPr defaultRowHeight="12.75" x14ac:dyDescent="0.2"/>
  <cols>
    <col min="1" max="1" width="24.5703125" style="1" customWidth="1"/>
    <col min="2" max="2" width="22.5703125" style="1" customWidth="1"/>
    <col min="3" max="3" width="20.85546875" style="1" customWidth="1"/>
    <col min="4" max="4" width="17.85546875" style="1" customWidth="1"/>
    <col min="5" max="5" width="16.28515625" style="1" customWidth="1"/>
    <col min="6" max="6" width="20.28515625" style="1" customWidth="1"/>
    <col min="7" max="7" width="22.140625" style="1" customWidth="1"/>
    <col min="8" max="8" width="21.85546875" style="1" customWidth="1"/>
    <col min="9" max="9" width="2.85546875" style="1" customWidth="1"/>
    <col min="10" max="16384" width="9.140625" style="1"/>
  </cols>
  <sheetData>
    <row r="1" spans="1:13" ht="23.25" customHeight="1" x14ac:dyDescent="0.2">
      <c r="A1" s="103" t="s">
        <v>116</v>
      </c>
    </row>
    <row r="2" spans="1:13" ht="26.25" customHeight="1" x14ac:dyDescent="0.2">
      <c r="A2" s="81" t="s">
        <v>117</v>
      </c>
      <c r="B2" s="80"/>
      <c r="C2" s="80"/>
      <c r="D2" s="80"/>
      <c r="E2" s="80"/>
      <c r="F2" s="80"/>
      <c r="G2" s="80"/>
      <c r="H2" s="18"/>
      <c r="I2" s="18"/>
      <c r="J2" s="18"/>
    </row>
    <row r="3" spans="1:13" ht="33.75" customHeight="1" x14ac:dyDescent="0.25">
      <c r="A3" s="104" t="s">
        <v>118</v>
      </c>
      <c r="B3" s="110"/>
      <c r="C3" s="110"/>
      <c r="D3" s="110"/>
      <c r="E3" s="110"/>
      <c r="F3" s="110"/>
      <c r="G3" s="110"/>
      <c r="H3" s="110"/>
    </row>
    <row r="4" spans="1:13" ht="96.75" customHeight="1" x14ac:dyDescent="0.25">
      <c r="A4" s="106" t="s">
        <v>119</v>
      </c>
      <c r="B4" s="83" t="s">
        <v>70</v>
      </c>
      <c r="C4" s="83" t="s">
        <v>4</v>
      </c>
      <c r="D4" s="83" t="s">
        <v>249</v>
      </c>
      <c r="E4" s="83"/>
      <c r="F4" s="83"/>
      <c r="G4" s="83"/>
    </row>
    <row r="5" spans="1:13" ht="65.25" customHeight="1" x14ac:dyDescent="0.2">
      <c r="A5" s="85" t="s">
        <v>275</v>
      </c>
      <c r="B5" s="107">
        <v>4.0500000000000001E-2</v>
      </c>
      <c r="C5" s="107">
        <v>1</v>
      </c>
      <c r="D5" s="209" t="s">
        <v>280</v>
      </c>
      <c r="E5" s="209"/>
      <c r="F5" s="209"/>
      <c r="G5" s="209"/>
    </row>
    <row r="6" spans="1:13" ht="36" customHeight="1" x14ac:dyDescent="0.2">
      <c r="A6" s="85" t="s">
        <v>2</v>
      </c>
      <c r="B6" s="111">
        <f>C6*B5</f>
        <v>554434.67249999999</v>
      </c>
      <c r="C6" s="111">
        <v>13689745</v>
      </c>
      <c r="D6" s="209" t="s">
        <v>281</v>
      </c>
      <c r="E6" s="209"/>
      <c r="F6" s="209"/>
      <c r="G6" s="209"/>
    </row>
    <row r="7" spans="1:13" ht="51.75" customHeight="1" x14ac:dyDescent="0.2">
      <c r="A7" s="85" t="s">
        <v>120</v>
      </c>
      <c r="B7" s="111">
        <v>390598</v>
      </c>
      <c r="C7" s="111">
        <v>6551619</v>
      </c>
      <c r="D7" s="209" t="s">
        <v>282</v>
      </c>
      <c r="E7" s="209"/>
      <c r="F7" s="209"/>
      <c r="G7" s="209"/>
      <c r="H7" s="112"/>
      <c r="I7" s="112"/>
      <c r="J7" s="112"/>
      <c r="K7" s="112"/>
      <c r="L7" s="112"/>
      <c r="M7" s="112"/>
    </row>
    <row r="8" spans="1:13" ht="57.75" customHeight="1" x14ac:dyDescent="0.2">
      <c r="A8" s="85" t="s">
        <v>121</v>
      </c>
      <c r="B8" s="111">
        <f>B6-B7</f>
        <v>163836.67249999999</v>
      </c>
      <c r="C8" s="111">
        <f>C6-C7</f>
        <v>7138126</v>
      </c>
      <c r="D8" s="209" t="s">
        <v>250</v>
      </c>
      <c r="E8" s="209"/>
      <c r="F8" s="209"/>
      <c r="G8" s="209"/>
      <c r="H8" s="108"/>
      <c r="I8" s="108"/>
      <c r="J8" s="18"/>
    </row>
    <row r="9" spans="1:13" ht="57" customHeight="1" x14ac:dyDescent="0.2">
      <c r="A9" s="85" t="s">
        <v>276</v>
      </c>
      <c r="B9" s="111">
        <v>18150</v>
      </c>
      <c r="C9" s="111">
        <v>147163</v>
      </c>
      <c r="D9" s="214" t="s">
        <v>251</v>
      </c>
      <c r="E9" s="214"/>
      <c r="F9" s="214"/>
      <c r="G9" s="214"/>
      <c r="H9" s="108"/>
      <c r="I9" s="108"/>
      <c r="J9" s="18"/>
    </row>
    <row r="10" spans="1:13" ht="51.75" customHeight="1" x14ac:dyDescent="0.2">
      <c r="A10" s="146" t="s">
        <v>195</v>
      </c>
      <c r="B10" s="111">
        <v>864000</v>
      </c>
      <c r="C10" s="111"/>
      <c r="D10" s="214" t="s">
        <v>196</v>
      </c>
      <c r="E10" s="214"/>
      <c r="F10" s="214"/>
      <c r="G10" s="214"/>
      <c r="H10" s="108"/>
      <c r="I10" s="108"/>
      <c r="J10" s="18"/>
    </row>
    <row r="11" spans="1:13" ht="108" customHeight="1" x14ac:dyDescent="0.2">
      <c r="A11" s="85" t="s">
        <v>122</v>
      </c>
      <c r="B11" s="111">
        <v>8140000</v>
      </c>
      <c r="C11" s="111">
        <v>9800000</v>
      </c>
      <c r="D11" s="215" t="s">
        <v>259</v>
      </c>
      <c r="E11" s="208"/>
      <c r="F11" s="208"/>
      <c r="G11" s="208"/>
      <c r="H11" s="108"/>
      <c r="I11" s="108"/>
      <c r="J11" s="18"/>
    </row>
    <row r="12" spans="1:13" ht="54.75" customHeight="1" x14ac:dyDescent="0.2">
      <c r="A12" s="85" t="s">
        <v>123</v>
      </c>
      <c r="B12" s="113">
        <v>3083500000</v>
      </c>
      <c r="C12" s="113">
        <v>85400000000</v>
      </c>
      <c r="D12" s="214" t="s">
        <v>258</v>
      </c>
      <c r="E12" s="214"/>
      <c r="F12" s="214"/>
      <c r="G12" s="214"/>
      <c r="H12" s="108"/>
      <c r="I12" s="108"/>
      <c r="J12" s="18"/>
    </row>
    <row r="13" spans="1:13" ht="6" customHeight="1" x14ac:dyDescent="0.2">
      <c r="A13" s="85"/>
      <c r="B13" s="114"/>
      <c r="C13" s="114"/>
      <c r="D13" s="214"/>
      <c r="E13" s="214"/>
      <c r="F13" s="214"/>
      <c r="G13" s="214"/>
      <c r="H13" s="108"/>
      <c r="I13" s="108"/>
    </row>
    <row r="14" spans="1:13" ht="60" customHeight="1" x14ac:dyDescent="0.25">
      <c r="A14" s="211" t="s">
        <v>124</v>
      </c>
      <c r="B14" s="211"/>
      <c r="C14" s="211"/>
      <c r="D14" s="211"/>
      <c r="E14" s="211"/>
      <c r="F14" s="115"/>
      <c r="G14" s="9"/>
      <c r="H14" s="9"/>
    </row>
    <row r="15" spans="1:13" ht="18.75" customHeight="1" x14ac:dyDescent="0.2"/>
    <row r="16" spans="1:13" ht="66.75" customHeight="1" x14ac:dyDescent="0.2">
      <c r="A16" s="106" t="s">
        <v>125</v>
      </c>
      <c r="B16" s="83" t="s">
        <v>48</v>
      </c>
      <c r="C16" s="83" t="s">
        <v>18</v>
      </c>
      <c r="D16" s="96" t="s">
        <v>0</v>
      </c>
    </row>
    <row r="17" spans="1:10" ht="50.25" customHeight="1" x14ac:dyDescent="0.2">
      <c r="A17" s="85" t="s">
        <v>2</v>
      </c>
      <c r="B17" s="116">
        <f>B6/B11</f>
        <v>6.8112367628992629E-2</v>
      </c>
      <c r="C17" s="116">
        <v>1</v>
      </c>
      <c r="D17" s="209" t="s">
        <v>277</v>
      </c>
      <c r="E17" s="209"/>
      <c r="F17" s="209"/>
      <c r="G17" s="209"/>
      <c r="J17" s="112"/>
    </row>
    <row r="18" spans="1:10" ht="30" customHeight="1" x14ac:dyDescent="0.2">
      <c r="A18" s="85" t="s">
        <v>126</v>
      </c>
      <c r="B18" s="116">
        <f>B7/B11</f>
        <v>4.7985012285012285E-2</v>
      </c>
      <c r="D18" s="166"/>
      <c r="E18" s="166"/>
      <c r="F18" s="166"/>
      <c r="G18" s="166"/>
      <c r="H18" s="112"/>
      <c r="I18" s="112"/>
    </row>
    <row r="19" spans="1:10" ht="30" customHeight="1" x14ac:dyDescent="0.2">
      <c r="A19" s="85" t="s">
        <v>3</v>
      </c>
      <c r="B19" s="116">
        <f>B8/B11</f>
        <v>2.0127355343980344E-2</v>
      </c>
      <c r="C19" s="117"/>
      <c r="D19" s="168"/>
      <c r="E19" s="168"/>
      <c r="F19" s="168"/>
      <c r="G19" s="168"/>
      <c r="H19" s="118"/>
    </row>
    <row r="20" spans="1:10" ht="36.75" customHeight="1" x14ac:dyDescent="0.2">
      <c r="A20" s="85" t="s">
        <v>127</v>
      </c>
      <c r="B20" s="116">
        <f>B9/B11</f>
        <v>2.2297297297297299E-3</v>
      </c>
      <c r="C20" s="117"/>
      <c r="D20" s="168"/>
      <c r="E20" s="168"/>
      <c r="F20" s="168"/>
      <c r="G20" s="168"/>
      <c r="H20" s="118"/>
    </row>
    <row r="21" spans="1:10" ht="40.5" customHeight="1" x14ac:dyDescent="0.2">
      <c r="A21" s="146" t="s">
        <v>197</v>
      </c>
      <c r="B21" s="116">
        <f>B10/B11</f>
        <v>0.10614250614250614</v>
      </c>
      <c r="C21" s="117"/>
      <c r="D21" s="207" t="s">
        <v>198</v>
      </c>
      <c r="E21" s="208"/>
      <c r="F21" s="208"/>
      <c r="G21" s="208"/>
      <c r="H21" s="118"/>
    </row>
    <row r="22" spans="1:10" ht="51.75" customHeight="1" x14ac:dyDescent="0.2">
      <c r="A22" s="85" t="s">
        <v>128</v>
      </c>
      <c r="B22" s="113">
        <f>B12*IF('Data Input'!B74=1,'Look Up Tables'!F6,1)*IF('Data Input'!C74=1,'Look Up Tables'!F7,1)*IF('Data Input'!D74=1,'Look Up Tables'!F8,1)*IF('Data Input'!E74=1,'Look Up Tables'!F9,1)*IF('Data Input'!F74=1,'Look Up Tables'!F10,1)*IF('Data Input'!G74=1,'Look Up Tables'!F11,1)*IF('Data Input'!H74=1,'Look Up Tables'!F12,1)/B11</f>
        <v>545.48402948402952</v>
      </c>
      <c r="C22" s="117"/>
      <c r="D22" s="212" t="s">
        <v>190</v>
      </c>
      <c r="E22" s="213"/>
      <c r="F22" s="213"/>
      <c r="G22" s="213"/>
      <c r="H22" s="118"/>
    </row>
    <row r="23" spans="1:10" ht="44.25" customHeight="1" x14ac:dyDescent="0.2">
      <c r="A23" s="85" t="s">
        <v>129</v>
      </c>
      <c r="B23" s="113">
        <f>(B12/0.754)*IF('Data Input'!B74=1,'Look Up Tables'!F6,1)*IF('Data Input'!C74=1,'Look Up Tables'!F7,1)*IF('Data Input'!D74=1,'Look Up Tables'!F8,1)*IF('Data Input'!E74=1,'Look Up Tables'!F9,1)*IF('Data Input'!F74=1,'Look Up Tables'!F10,1)*IF('Data Input'!G74=1,'Look Up Tables'!F11,1)*IF('Data Input'!H74=1,'Look Up Tables'!F12,1)/B6</f>
        <v>10621.472211126013</v>
      </c>
      <c r="C23" s="117"/>
      <c r="D23" s="213"/>
      <c r="E23" s="213"/>
      <c r="F23" s="213"/>
      <c r="G23" s="213"/>
      <c r="H23" s="118"/>
    </row>
    <row r="24" spans="1:10" ht="15" customHeight="1" x14ac:dyDescent="0.2">
      <c r="A24" s="119"/>
      <c r="B24" s="120"/>
      <c r="C24" s="117"/>
      <c r="D24" s="108"/>
      <c r="E24" s="108"/>
      <c r="F24" s="108"/>
      <c r="G24" s="108"/>
      <c r="H24" s="118"/>
    </row>
    <row r="25" spans="1:10" ht="39.75" customHeight="1" x14ac:dyDescent="0.25">
      <c r="A25" s="211" t="s">
        <v>130</v>
      </c>
      <c r="B25" s="211"/>
      <c r="C25" s="211"/>
      <c r="D25" s="211"/>
      <c r="E25" s="211"/>
      <c r="F25" s="80"/>
      <c r="G25" s="80"/>
      <c r="H25" s="121"/>
    </row>
    <row r="26" spans="1:10" ht="18" customHeight="1" x14ac:dyDescent="0.2">
      <c r="A26" s="122"/>
      <c r="B26" s="123"/>
      <c r="C26" s="123"/>
      <c r="D26" s="123"/>
      <c r="E26" s="123"/>
      <c r="F26" s="124"/>
      <c r="G26" s="124"/>
    </row>
    <row r="27" spans="1:10" ht="89.25" customHeight="1" x14ac:dyDescent="0.25">
      <c r="A27" s="106" t="s">
        <v>45</v>
      </c>
      <c r="B27" s="83" t="s">
        <v>55</v>
      </c>
      <c r="C27" s="83" t="s">
        <v>47</v>
      </c>
      <c r="D27" s="83" t="s">
        <v>184</v>
      </c>
      <c r="E27" s="83" t="s">
        <v>64</v>
      </c>
      <c r="F27" s="96" t="s">
        <v>0</v>
      </c>
      <c r="I27" s="147"/>
    </row>
    <row r="28" spans="1:10" ht="90" customHeight="1" x14ac:dyDescent="0.2">
      <c r="A28" s="85" t="s">
        <v>13</v>
      </c>
      <c r="B28" s="113">
        <v>7200000000</v>
      </c>
      <c r="C28" s="113">
        <f>B28*IF('Data Input'!B74=1,'Look Up Tables'!H6,1)*IF('Data Input'!C74=1,'Look Up Tables'!H7,1)*IF('Data Input'!D74=1,'Look Up Tables'!H8,1)*IF('Data Input'!E74=1,'Look Up Tables'!H9,1)*IF('Data Input'!F74=1,'Look Up Tables'!H10,1)*IF('Data Input'!G74=1,'Look Up Tables'!H11,1)*IF('Data Input'!H74=1,'Look Up Tables'!H12,1)*(B8/C8)</f>
        <v>178477371.42213517</v>
      </c>
      <c r="D28" s="162">
        <v>0.85</v>
      </c>
      <c r="E28" s="113">
        <f>C28*D28/(B6/0.754)</f>
        <v>206.3113167664427</v>
      </c>
      <c r="F28" s="209" t="s">
        <v>186</v>
      </c>
      <c r="G28" s="209"/>
      <c r="H28" s="210"/>
      <c r="I28" s="147"/>
    </row>
    <row r="29" spans="1:10" ht="99" customHeight="1" x14ac:dyDescent="0.2">
      <c r="A29" s="85" t="s">
        <v>46</v>
      </c>
      <c r="B29" s="113">
        <v>7700000000</v>
      </c>
      <c r="C29" s="113">
        <f>(B29*0.15)*IF('Data Input'!B74=1,'Look Up Tables'!H6,1)*IF('Data Input'!C74=1,'Look Up Tables'!H7,1)*IF('Data Input'!D74=1,'Look Up Tables'!H8,1)*IF('Data Input'!E74=1,'Look Up Tables'!H9,1)*IF('Data Input'!F74=1,'Look Up Tables'!H10,1)*IF('Data Input'!G74=1,'Look Up Tables'!H11,1)*IF('Data Input'!H74=1,'Look Up Tables'!H12,1)+625000000</f>
        <v>1872400000</v>
      </c>
      <c r="D29" s="162">
        <v>0.85</v>
      </c>
      <c r="E29" s="113">
        <f>C29*D29/(B6/0.754)</f>
        <v>2164.4049687386751</v>
      </c>
      <c r="F29" s="209" t="s">
        <v>233</v>
      </c>
      <c r="G29" s="209"/>
      <c r="H29" s="209"/>
    </row>
    <row r="30" spans="1:10" ht="89.25" customHeight="1" x14ac:dyDescent="0.2"/>
    <row r="31" spans="1:10" ht="57" customHeight="1" x14ac:dyDescent="0.2"/>
    <row r="32" spans="1:10" ht="66.75" customHeight="1" x14ac:dyDescent="0.2"/>
    <row r="33" spans="8:8" ht="76.5" customHeight="1" x14ac:dyDescent="0.2">
      <c r="H33" s="124"/>
    </row>
    <row r="34" spans="8:8" ht="107.25" customHeight="1" x14ac:dyDescent="0.2">
      <c r="H34" s="124"/>
    </row>
    <row r="35" spans="8:8" ht="48" customHeight="1" x14ac:dyDescent="0.2"/>
    <row r="36" spans="8:8" ht="57" customHeight="1" x14ac:dyDescent="0.2"/>
    <row r="37" spans="8:8" ht="59.25" customHeight="1" x14ac:dyDescent="0.2"/>
    <row r="38" spans="8:8" ht="77.25" customHeight="1" x14ac:dyDescent="0.2"/>
  </sheetData>
  <sheetProtection algorithmName="SHA-512" hashValue="0ZNEOHi5khoBrBpQjEFi11oXAQwWNcJIvLr2ysvO+hB3o05Ya4mWmGyHMOH5Ot3KPjWB+N6KM3FngZ4+DPjJ8w==" saltValue="SoFUziwhvREjx9zX4kUsMQ==" spinCount="100000" sheet="1" selectLockedCells="1" selectUnlockedCells="1"/>
  <mergeCells count="15">
    <mergeCell ref="D5:G5"/>
    <mergeCell ref="D9:G9"/>
    <mergeCell ref="D6:G6"/>
    <mergeCell ref="D12:G13"/>
    <mergeCell ref="A14:E14"/>
    <mergeCell ref="D11:G11"/>
    <mergeCell ref="D10:G10"/>
    <mergeCell ref="D21:G21"/>
    <mergeCell ref="F28:H28"/>
    <mergeCell ref="D7:G7"/>
    <mergeCell ref="D8:G8"/>
    <mergeCell ref="F29:H29"/>
    <mergeCell ref="A25:E25"/>
    <mergeCell ref="D22:G23"/>
    <mergeCell ref="D17:G17"/>
  </mergeCells>
  <phoneticPr fontId="5" type="noConversion"/>
  <pageMargins left="0.75" right="0.75" top="1" bottom="1" header="0.5" footer="0.5"/>
  <pageSetup paperSize="9" scale="67" orientation="landscape" r:id="rId1"/>
  <headerFooter alignWithMargins="0"/>
  <rowBreaks count="2" manualBreakCount="2">
    <brk id="13" max="8" man="1"/>
    <brk id="23"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M39"/>
  <sheetViews>
    <sheetView showGridLines="0" showRowColHeaders="0" tabSelected="1" topLeftCell="A20" zoomScaleNormal="100" workbookViewId="0">
      <selection activeCell="D20" sqref="D20"/>
    </sheetView>
  </sheetViews>
  <sheetFormatPr defaultRowHeight="12.75" x14ac:dyDescent="0.2"/>
  <cols>
    <col min="1" max="1" width="25.85546875" style="1" customWidth="1"/>
    <col min="2" max="2" width="25.140625" style="1" customWidth="1"/>
    <col min="3" max="3" width="22.28515625" style="1" customWidth="1"/>
    <col min="4" max="4" width="22.5703125" style="1" customWidth="1"/>
    <col min="5" max="5" width="21.85546875" style="1" customWidth="1"/>
    <col min="6" max="6" width="25.7109375" style="1" customWidth="1"/>
    <col min="7" max="7" width="20.28515625" style="1" customWidth="1"/>
    <col min="8" max="8" width="26.42578125" style="1" customWidth="1"/>
    <col min="9" max="9" width="1.7109375" style="1" customWidth="1"/>
    <col min="10" max="16384" width="9.140625" style="1"/>
  </cols>
  <sheetData>
    <row r="2" spans="1:13" ht="26.25" x14ac:dyDescent="0.2">
      <c r="A2" s="125" t="s">
        <v>19</v>
      </c>
      <c r="B2" s="126"/>
      <c r="C2" s="126"/>
      <c r="D2" s="126"/>
      <c r="E2" s="126"/>
      <c r="F2" s="126"/>
      <c r="G2" s="126"/>
    </row>
    <row r="3" spans="1:13" ht="7.5" customHeight="1" x14ac:dyDescent="0.2">
      <c r="A3" s="126"/>
      <c r="B3" s="126"/>
      <c r="C3" s="126"/>
      <c r="D3" s="126"/>
      <c r="E3" s="126"/>
      <c r="F3" s="126"/>
      <c r="G3" s="126"/>
    </row>
    <row r="5" spans="1:13" ht="30.75" customHeight="1" x14ac:dyDescent="0.2">
      <c r="A5" s="104" t="s">
        <v>131</v>
      </c>
      <c r="B5" s="80"/>
      <c r="C5" s="80"/>
      <c r="D5" s="80"/>
      <c r="E5" s="80"/>
      <c r="F5" s="80"/>
      <c r="G5" s="80"/>
    </row>
    <row r="6" spans="1:13" ht="68.25" customHeight="1" x14ac:dyDescent="0.25">
      <c r="A6" s="106" t="s">
        <v>132</v>
      </c>
      <c r="B6" s="83" t="s">
        <v>65</v>
      </c>
      <c r="C6" s="83" t="s">
        <v>56</v>
      </c>
      <c r="D6" s="83" t="s">
        <v>53</v>
      </c>
      <c r="E6" s="83" t="s">
        <v>41</v>
      </c>
      <c r="F6" s="96" t="s">
        <v>0</v>
      </c>
    </row>
    <row r="7" spans="1:13" ht="59.25" customHeight="1" x14ac:dyDescent="0.2">
      <c r="A7" s="85" t="s">
        <v>52</v>
      </c>
      <c r="B7" s="113">
        <f>C7/'National Data'!C17</f>
        <v>1389.0414665744443</v>
      </c>
      <c r="C7" s="113">
        <f>43600000000*0.25*IF('Data Input'!B74=1,'Look Up Tables'!L6,1)*IF('Data Input'!C74=1,'Look Up Tables'!L7,1)*IF('Data Input'!D74=1,'Look Up Tables'!L8,1)*IF('Data Input'!E74=1,'Look Up Tables'!L9,1)*IF('Data Input'!F74=1,'Look Up Tables'!L10,1)*IF('Data Input'!G74=1,'Look Up Tables'!L11,1)*IF('Data Input'!H74=1,'Look Up Tables'!L12,1)*IF('Data Input'!I74=1,'Look Up Tables'!L13,1)/'National Data'!C11</f>
        <v>1389.0414665744443</v>
      </c>
      <c r="D7" s="182">
        <f>C7*'Look Up Tables'!C55</f>
        <v>33721.154751042181</v>
      </c>
      <c r="E7" s="182">
        <f>C7*49</f>
        <v>68063.031862147764</v>
      </c>
      <c r="F7" s="209" t="s">
        <v>257</v>
      </c>
      <c r="G7" s="209"/>
      <c r="H7" s="209"/>
    </row>
    <row r="8" spans="1:13" ht="100.5" customHeight="1" x14ac:dyDescent="0.2">
      <c r="A8" s="85" t="s">
        <v>15</v>
      </c>
      <c r="B8" s="113">
        <f>C8/'National Data'!C17</f>
        <v>81.308794310862154</v>
      </c>
      <c r="C8" s="113">
        <f>(('National Data'!B19*26700000000)/'National Data'!C8)*IF('Data Input'!B74=1,'Look Up Tables'!H6,1)*IF('Data Input'!C74=1,'Look Up Tables'!H7,1)*IF('Data Input'!D74=1,'Look Up Tables'!H8,1)*IF('Data Input'!E74=1,'Look Up Tables'!H9,1)*IF('Data Input'!F74=1,'Look Up Tables'!H10,1)*IF('Data Input'!G74=1,'Look Up Tables'!H11,1)*IF('Data Input'!H74=1,'Look Up Tables'!H12,1)*IF('Data Input'!I74=1,'Look Up Tables'!H13,1)</f>
        <v>81.308794310862154</v>
      </c>
      <c r="D8" s="113">
        <f>C8*'Look Up Tables'!C55</f>
        <v>1973.8981891872093</v>
      </c>
      <c r="E8" s="113">
        <f>C8*49</f>
        <v>3984.1309212322458</v>
      </c>
      <c r="F8" s="209" t="s">
        <v>133</v>
      </c>
      <c r="G8" s="209"/>
      <c r="H8" s="209"/>
      <c r="M8" s="40"/>
    </row>
    <row r="9" spans="1:13" ht="63.75" customHeight="1" x14ac:dyDescent="0.2">
      <c r="A9" s="167" t="s">
        <v>234</v>
      </c>
      <c r="B9" s="113">
        <f>C9/'National Data'!C17</f>
        <v>249.43488943488944</v>
      </c>
      <c r="C9" s="113">
        <f>(('National Data'!B18*1880000000)/'National Data'!B7)*IF('Data Input'!B74=1,'Look Up Tables'!H6,1)*IF('Data Input'!C74=1,'Look Up Tables'!H7,1)*IF('Data Input'!D74=1,'Look Up Tables'!H8,1)*IF('Data Input'!E74=1,'Look Up Tables'!H9,1)*IF('Data Input'!F74=1,'Look Up Tables'!H10,1)*IF('Data Input'!G74=1,'Look Up Tables'!H11,1)*IF('Data Input'!H74=1,'Look Up Tables'!H12,1)*IF('Data Input'!I74=1,'Look Up Tables'!H13,1)</f>
        <v>249.43488943488944</v>
      </c>
      <c r="D9" s="113">
        <f>C9*'Look Up Tables'!C55</f>
        <v>6055.4221809419341</v>
      </c>
      <c r="E9" s="113">
        <f>C9*49</f>
        <v>12222.309582309583</v>
      </c>
      <c r="F9" s="209" t="s">
        <v>235</v>
      </c>
      <c r="G9" s="209"/>
      <c r="H9" s="209"/>
      <c r="M9" s="40"/>
    </row>
    <row r="10" spans="1:13" ht="81.75" customHeight="1" x14ac:dyDescent="0.2">
      <c r="A10" s="85" t="s">
        <v>16</v>
      </c>
      <c r="B10" s="113">
        <f>'Data Input'!B29/('Data Input'!B44*'National Data'!C17)</f>
        <v>0</v>
      </c>
      <c r="C10" s="92"/>
      <c r="D10" s="92"/>
      <c r="E10" s="127"/>
      <c r="F10" s="209" t="s">
        <v>134</v>
      </c>
      <c r="G10" s="209"/>
      <c r="H10" s="209"/>
      <c r="M10" s="112"/>
    </row>
    <row r="11" spans="1:13" ht="81.75" customHeight="1" x14ac:dyDescent="0.2">
      <c r="A11" s="178" t="s">
        <v>238</v>
      </c>
      <c r="B11" s="113">
        <f>B7+B9+B8-B10</f>
        <v>1719.785150320196</v>
      </c>
      <c r="C11" s="113">
        <f>C7+C8+C9</f>
        <v>1719.785150320196</v>
      </c>
      <c r="D11" s="113">
        <f>D7+D8+D9+D10</f>
        <v>41750.475121171323</v>
      </c>
      <c r="E11" s="113">
        <f>E7+E8+E9</f>
        <v>84269.472365689595</v>
      </c>
      <c r="F11" s="209"/>
      <c r="G11" s="209"/>
      <c r="H11" s="209"/>
      <c r="I11" s="108"/>
    </row>
    <row r="12" spans="1:13" ht="18.75" customHeight="1" x14ac:dyDescent="0.2"/>
    <row r="13" spans="1:13" ht="36" customHeight="1" x14ac:dyDescent="0.2">
      <c r="A13" s="104" t="s">
        <v>135</v>
      </c>
      <c r="B13" s="80"/>
      <c r="C13" s="80"/>
      <c r="D13" s="80"/>
      <c r="E13" s="80"/>
      <c r="F13" s="80"/>
      <c r="G13" s="101"/>
    </row>
    <row r="14" spans="1:13" ht="73.5" customHeight="1" x14ac:dyDescent="0.25">
      <c r="A14" s="106" t="s">
        <v>132</v>
      </c>
      <c r="B14" s="83" t="s">
        <v>66</v>
      </c>
      <c r="C14" s="83" t="s">
        <v>187</v>
      </c>
      <c r="D14" s="96" t="s">
        <v>0</v>
      </c>
    </row>
    <row r="15" spans="1:13" ht="62.25" customHeight="1" x14ac:dyDescent="0.2">
      <c r="A15" s="85" t="s">
        <v>28</v>
      </c>
      <c r="B15" s="113">
        <f>(C15*'National Data'!B19/'National Data'!B8)*IF('Data Input'!B74=1,'Look Up Tables'!H6,1)*IF('Data Input'!C74=1,'Look Up Tables'!H7,1)*IF('Data Input'!D74=1,'Look Up Tables'!H8,1)*IF('Data Input'!E74=1,'Look Up Tables'!H9,1)*IF('Data Input'!F74=1,'Look Up Tables'!H10,1)*IF('Data Input'!G74=1,'Look Up Tables'!H11,1)*IF('Data Input'!H74=1,'Look Up Tables'!H12,1)/'National Data'!C17</f>
        <v>214.93857493857496</v>
      </c>
      <c r="C15" s="113">
        <f>1500000000*IF('Data Input'!B74=1,'Look Up Tables'!H6,1)*IF('Data Input'!C74=1,'Look Up Tables'!H7,1)*IF('Data Input'!D74=1,'Look Up Tables'!H8,1)*IF('Data Input'!E74=1,'Look Up Tables'!H9,1)*IF('Data Input'!F74=1,'Look Up Tables'!H10,1)*IF('Data Input'!G74=1,'Look Up Tables'!H11,1)*IF('Data Input'!H74=1,'Look Up Tables'!H12,1)</f>
        <v>1620000000</v>
      </c>
      <c r="D15" s="209" t="s">
        <v>136</v>
      </c>
      <c r="E15" s="209"/>
      <c r="F15" s="209"/>
    </row>
    <row r="16" spans="1:13" ht="53.25" customHeight="1" x14ac:dyDescent="0.2">
      <c r="A16" s="85" t="s">
        <v>29</v>
      </c>
      <c r="B16" s="113">
        <f>(C16*'National Data'!B19/'National Data'!B8)*IF('Data Input'!B74=1,'Look Up Tables'!H6,1)*IF('Data Input'!C74=1,'Look Up Tables'!H7,1)*IF('Data Input'!D74=1,'Look Up Tables'!H8,1)*IF('Data Input'!E74=1,'Look Up Tables'!H9,1)*IF('Data Input'!F74=1,'Look Up Tables'!H10,1)*IF('Data Input'!G74=1,'Look Up Tables'!H11,1)*IF('Data Input'!H74=1,'Look Up Tables'!H12,1)/'National Data'!C17</f>
        <v>214.93857493857496</v>
      </c>
      <c r="C16" s="113">
        <f>1500000000*IF('Data Input'!B74=1,'Look Up Tables'!H6,1)*IF('Data Input'!C74=1,'Look Up Tables'!H7,1)*IF('Data Input'!D74=1,'Look Up Tables'!H8,1)*IF('Data Input'!E74=1,'Look Up Tables'!H9,1)*IF('Data Input'!F74=1,'Look Up Tables'!H10,1)*IF('Data Input'!G74=1,'Look Up Tables'!H11,1)*IF('Data Input'!H74=1,'Look Up Tables'!H12,1)</f>
        <v>1620000000</v>
      </c>
      <c r="D16" s="209" t="s">
        <v>261</v>
      </c>
      <c r="E16" s="209"/>
      <c r="F16" s="209"/>
    </row>
    <row r="17" spans="1:12" ht="69.75" customHeight="1" x14ac:dyDescent="0.2">
      <c r="A17" s="85" t="s">
        <v>30</v>
      </c>
      <c r="B17" s="113">
        <f>'Data Input'!G90/'National Data'!C17</f>
        <v>0</v>
      </c>
      <c r="C17" s="113">
        <f>'Data Input'!G90*B7</f>
        <v>0</v>
      </c>
      <c r="D17" s="209"/>
      <c r="E17" s="209"/>
      <c r="F17" s="209"/>
      <c r="H17" s="39"/>
      <c r="I17" s="39"/>
      <c r="J17" s="39"/>
      <c r="K17" s="39"/>
    </row>
    <row r="18" spans="1:12" ht="69.75" customHeight="1" x14ac:dyDescent="0.2">
      <c r="A18" s="178" t="s">
        <v>239</v>
      </c>
      <c r="B18" s="113">
        <f>(B15+B16-B17)</f>
        <v>429.87714987714992</v>
      </c>
      <c r="C18" s="113">
        <f>C15+C16-C17</f>
        <v>3240000000</v>
      </c>
      <c r="D18" s="128"/>
      <c r="E18" s="128"/>
      <c r="F18" s="128"/>
      <c r="G18" s="18"/>
      <c r="H18" s="18"/>
    </row>
    <row r="19" spans="1:12" ht="69.75" customHeight="1" x14ac:dyDescent="0.2">
      <c r="A19" s="85" t="s">
        <v>36</v>
      </c>
      <c r="B19" s="113">
        <f>B18*0.1</f>
        <v>42.987714987714995</v>
      </c>
      <c r="C19" s="113">
        <f>C18*0.1</f>
        <v>324000000</v>
      </c>
      <c r="D19" s="209" t="s">
        <v>137</v>
      </c>
      <c r="E19" s="209"/>
      <c r="F19" s="209"/>
      <c r="G19" s="18"/>
      <c r="H19" s="18"/>
    </row>
    <row r="20" spans="1:12" ht="66" customHeight="1" x14ac:dyDescent="0.2">
      <c r="A20" s="104" t="s">
        <v>138</v>
      </c>
      <c r="B20" s="101"/>
      <c r="C20" s="101"/>
      <c r="D20" s="101"/>
      <c r="E20" s="101"/>
      <c r="F20" s="101"/>
    </row>
    <row r="21" spans="1:12" ht="70.5" customHeight="1" x14ac:dyDescent="0.25">
      <c r="A21" s="106" t="s">
        <v>132</v>
      </c>
      <c r="B21" s="83" t="s">
        <v>67</v>
      </c>
      <c r="C21" s="83" t="s">
        <v>58</v>
      </c>
      <c r="D21" s="96" t="s">
        <v>0</v>
      </c>
      <c r="F21" s="100"/>
    </row>
    <row r="22" spans="1:12" ht="41.25" customHeight="1" x14ac:dyDescent="0.2">
      <c r="A22" s="178" t="s">
        <v>240</v>
      </c>
      <c r="B22" s="113">
        <f>(C22/'National Data'!C11)/'National Data'!C17</f>
        <v>-365.05102040816325</v>
      </c>
      <c r="C22" s="113">
        <f>-13250000000*0.25*IF('Data Input'!B74=1,'Look Up Tables'!H6,1)*IF('Data Input'!C74=1,'Look Up Tables'!H7,1)*IF('Data Input'!D74=1,'Look Up Tables'!H8,1)*IF('Data Input'!E74=1,'Look Up Tables'!H9,1)*IF('Data Input'!F74=1,'Look Up Tables'!H10,1)*IF('Data Input'!G74=1,'Look Up Tables'!H11,1)*IF('Data Input'!H74=1,'Look Up Tables'!H12,1)</f>
        <v>-3577500000</v>
      </c>
      <c r="D22" s="209" t="s">
        <v>278</v>
      </c>
      <c r="E22" s="209"/>
      <c r="F22" s="209"/>
    </row>
    <row r="23" spans="1:12" ht="47.25" customHeight="1" x14ac:dyDescent="0.2">
      <c r="A23" s="178" t="s">
        <v>241</v>
      </c>
      <c r="B23" s="113">
        <f>(C23/'National Data'!C11)/'National Data'!C17</f>
        <v>73.353794943904759</v>
      </c>
      <c r="C23" s="113">
        <f>29000000000*IF('Data Input'!B74=1,'Look Up Tables'!H6,1)*IF('Data Input'!C74=1,'Look Up Tables'!H7,1)*IF('Data Input'!D74=1,'Look Up Tables'!H8,1)*IF('Data Input'!E74=1,'Look Up Tables'!H9,1)*IF('Data Input'!F74=1,'Look Up Tables'!H10,1)*IF('Data Input'!G74=1,'Look Up Tables'!H11,1)*IF('Data Input'!H74=1,'Look Up Tables'!H12,1)*'National Data'!B8/'National Data'!C8</f>
        <v>718867190.4502666</v>
      </c>
      <c r="D23" s="209" t="s">
        <v>139</v>
      </c>
      <c r="E23" s="209"/>
      <c r="F23" s="209"/>
    </row>
    <row r="24" spans="1:12" ht="85.5" customHeight="1" x14ac:dyDescent="0.2">
      <c r="A24" s="178" t="s">
        <v>242</v>
      </c>
      <c r="B24" s="113">
        <f>(C24/'National Data'!C11)/'National Data'!C17</f>
        <v>874.59744202295906</v>
      </c>
      <c r="C24" s="113">
        <f>-5000*'National Data'!B7*0.58+(25250*IF('Data Input'!B74=1,'Look Up Tables'!H6,1)*IF('Data Input'!C74=1,'Look Up Tables'!H7,1)*IF('Data Input'!D74=1,'Look Up Tables'!H8,1)*IF('Data Input'!E74=1,'Look Up Tables'!H9,1)*IF('Data Input'!F74=1,'Look Up Tables'!H10,1)*IF('Data Input'!G74=1,'Look Up Tables'!H11,1)*IF('Data Input'!H74=1,'Look Up Tables'!H12,1)*0.42*'National Data'!C7*0.125)+C19</f>
        <v>8571054931.8249989</v>
      </c>
      <c r="D24" s="209" t="s">
        <v>237</v>
      </c>
      <c r="E24" s="209"/>
      <c r="F24" s="209"/>
      <c r="H24" s="112"/>
      <c r="I24" s="112"/>
      <c r="J24" s="112"/>
      <c r="K24" s="112"/>
    </row>
    <row r="25" spans="1:12" ht="61.5" customHeight="1" x14ac:dyDescent="0.2">
      <c r="A25" s="85" t="s">
        <v>60</v>
      </c>
      <c r="B25" s="113">
        <f>C25/'National Data'!C11</f>
        <v>523.91605830838114</v>
      </c>
      <c r="C25" s="113">
        <f>'National Data'!B12+'National Data'!C28+'National Data'!C29</f>
        <v>5134377371.4221354</v>
      </c>
      <c r="D25" s="108"/>
      <c r="E25" s="108"/>
      <c r="F25" s="108"/>
    </row>
    <row r="26" spans="1:12" ht="62.25" customHeight="1" x14ac:dyDescent="0.2">
      <c r="A26" s="85" t="s">
        <v>140</v>
      </c>
      <c r="B26" s="113">
        <f>B22+B23+B24+B25</f>
        <v>1106.8162748670816</v>
      </c>
      <c r="C26" s="113">
        <f>C22+C23+C24+C25</f>
        <v>10846799493.697401</v>
      </c>
      <c r="D26" s="108"/>
      <c r="E26" s="108"/>
      <c r="F26" s="108"/>
    </row>
    <row r="27" spans="1:12" ht="18" customHeight="1" x14ac:dyDescent="0.2"/>
    <row r="28" spans="1:12" ht="49.5" customHeight="1" x14ac:dyDescent="0.2">
      <c r="A28" s="104" t="s">
        <v>141</v>
      </c>
      <c r="B28" s="101"/>
      <c r="C28" s="101"/>
      <c r="D28" s="101"/>
      <c r="E28" s="101"/>
      <c r="F28" s="101"/>
    </row>
    <row r="29" spans="1:12" ht="73.5" customHeight="1" x14ac:dyDescent="0.25">
      <c r="A29" s="106" t="s">
        <v>132</v>
      </c>
      <c r="B29" s="83" t="s">
        <v>67</v>
      </c>
      <c r="C29" s="83" t="s">
        <v>61</v>
      </c>
      <c r="D29" s="96" t="s">
        <v>0</v>
      </c>
    </row>
    <row r="30" spans="1:12" ht="110.25" customHeight="1" x14ac:dyDescent="0.2">
      <c r="A30" s="85" t="s">
        <v>54</v>
      </c>
      <c r="B30" s="113">
        <f>(9750000000*IF('Data Input'!B74=1,'Look Up Tables'!H6,1)*IF('Data Input'!C74=1,'Look Up Tables'!H7,1)*IF('Data Input'!D74=1,'Look Up Tables'!H8,1)*IF('Data Input'!E74=1,'Look Up Tables'!H9,1)*IF('Data Input'!F74=1,'Look Up Tables'!H10,1)*IF('Data Input'!G74=1,'Look Up Tables'!H11,1)*IF('Data Input'!H74=1,'Look Up Tables'!H12,1)*IF('Data Input'!I74=1,'Look Up Tables'!H13,1)/'National Data'!C11)*1/'National Data'!C17</f>
        <v>1074.4897959183672</v>
      </c>
      <c r="C30" s="113">
        <f>B30*'Results '!B7</f>
        <v>82643.94645124214</v>
      </c>
      <c r="D30" s="209" t="s">
        <v>260</v>
      </c>
      <c r="E30" s="209"/>
      <c r="F30" s="209"/>
    </row>
    <row r="31" spans="1:12" ht="105.75" customHeight="1" x14ac:dyDescent="0.2">
      <c r="A31" s="85" t="s">
        <v>37</v>
      </c>
      <c r="B31" s="113">
        <f>20000</f>
        <v>20000</v>
      </c>
      <c r="C31" s="113">
        <f>B31*'Results '!B7</f>
        <v>1538291.8807638614</v>
      </c>
      <c r="D31" s="209" t="s">
        <v>264</v>
      </c>
      <c r="E31" s="209"/>
      <c r="F31" s="209"/>
    </row>
    <row r="32" spans="1:12" ht="54" customHeight="1" x14ac:dyDescent="0.2">
      <c r="A32" s="85" t="s">
        <v>71</v>
      </c>
      <c r="B32" s="113">
        <f>B31+B30</f>
        <v>21074.489795918365</v>
      </c>
      <c r="C32" s="113">
        <f>B32*'Results '!B7</f>
        <v>1620935.8272151034</v>
      </c>
      <c r="H32" s="129"/>
      <c r="I32" s="129"/>
      <c r="J32" s="9"/>
      <c r="K32" s="9"/>
      <c r="L32" s="9"/>
    </row>
    <row r="33" spans="1:12" ht="80.25" customHeight="1" x14ac:dyDescent="0.2">
      <c r="A33" s="85" t="s">
        <v>142</v>
      </c>
      <c r="B33" s="113">
        <f>B31*(1+'Data Input'!B78*'Data Input'!B59)+B30</f>
        <v>24674.489795918365</v>
      </c>
      <c r="C33" s="113">
        <f>B33*'Results '!B7</f>
        <v>1897828.3657525985</v>
      </c>
      <c r="D33" s="209" t="s">
        <v>145</v>
      </c>
      <c r="E33" s="209"/>
      <c r="F33" s="209"/>
      <c r="G33" s="9"/>
      <c r="H33" s="9"/>
      <c r="I33" s="9"/>
      <c r="J33" s="9"/>
      <c r="K33" s="9"/>
      <c r="L33" s="9"/>
    </row>
    <row r="34" spans="1:12" ht="48" customHeight="1" x14ac:dyDescent="0.2">
      <c r="A34" s="85" t="s">
        <v>143</v>
      </c>
      <c r="B34" s="113">
        <f>B31*C35+B30</f>
        <v>22310.104971416295</v>
      </c>
      <c r="C34" s="113">
        <f>B34*'Results '!B7</f>
        <v>1715972.6668259574</v>
      </c>
      <c r="D34" s="209"/>
      <c r="E34" s="209"/>
      <c r="F34" s="209"/>
      <c r="G34" s="9"/>
      <c r="H34" s="9"/>
      <c r="I34" s="9"/>
      <c r="J34" s="9"/>
      <c r="K34" s="9"/>
      <c r="L34" s="9"/>
    </row>
    <row r="35" spans="1:12" ht="67.5" customHeight="1" x14ac:dyDescent="0.2">
      <c r="A35" s="85" t="s">
        <v>144</v>
      </c>
      <c r="B35" s="130">
        <f>POWER(2.71828,-0.0000586*'Results '!E8+ 0.0435987*'Data Input'!B84+0.119895*('Data Input'!B59/0.2))</f>
        <v>2.0541773863592852</v>
      </c>
      <c r="C35" s="130">
        <f>POWER(2.71828,-0.0000586*'Results '!E8+ 0.0435987*'Data Input'!B84+0.119895*'Data Input'!B59/0.2)/POWER(2.71828,-0.0000586*'Results '!E8+ 0.0435987*'Data Input'!B84+0.119895*1)</f>
        <v>1.0617807587748962</v>
      </c>
      <c r="D35" s="209"/>
      <c r="E35" s="209"/>
      <c r="F35" s="209"/>
      <c r="G35" s="9"/>
    </row>
    <row r="36" spans="1:12" ht="25.5" customHeight="1" x14ac:dyDescent="0.2"/>
    <row r="37" spans="1:12" ht="90.75" customHeight="1" x14ac:dyDescent="0.2">
      <c r="A37" s="85" t="s">
        <v>40</v>
      </c>
      <c r="B37" s="113">
        <f>(2718*'Results '!B7*'National Data'!B18*IF('Data Input'!B74=1,'Look Up Tables'!H6,1)*IF('Data Input'!C74=1,'Look Up Tables'!H7,1)*IF('Data Input'!D74=1,'Look Up Tables'!H8,1)*IF('Data Input'!E74=1,'Look Up Tables'!H9,1)*IF('Data Input'!F74=1,'Look Up Tables'!H10,1)*IF('Data Input'!G74=1,'Look Up Tables'!H11,1)*IF('Data Input'!H74=1,'Look Up Tables'!H12,1)*IF('Data Input'!I74=1,'Look Up Tables'!H13,1)/'National Data'!C17)*('Look Up Tables'!C58-'Look Up Tables'!C49)</f>
        <v>18776.089100733734</v>
      </c>
      <c r="D37" s="209" t="s">
        <v>262</v>
      </c>
      <c r="E37" s="209"/>
      <c r="F37" s="209"/>
    </row>
    <row r="38" spans="1:12" ht="10.5" customHeight="1" x14ac:dyDescent="0.2">
      <c r="D38" s="131"/>
      <c r="E38" s="131"/>
      <c r="F38" s="131"/>
    </row>
    <row r="39" spans="1:12" x14ac:dyDescent="0.2">
      <c r="D39" s="131"/>
      <c r="E39" s="131"/>
      <c r="F39" s="131"/>
    </row>
  </sheetData>
  <sheetProtection algorithmName="SHA-512" hashValue="58KiTLWoszQ3C4YkmOtirBkeYDSJP/JV9UmRAcm+gYv6qPj84Y6HeE29C+/Htjnf86UhHI52wac88GgeesbpKQ==" saltValue="qhQJ/ISXvETFmlN1zyRbbQ==" spinCount="100000" sheet="1" selectLockedCells="1" selectUnlockedCells="1"/>
  <mergeCells count="14">
    <mergeCell ref="D19:F19"/>
    <mergeCell ref="D16:F17"/>
    <mergeCell ref="D22:F22"/>
    <mergeCell ref="D23:F23"/>
    <mergeCell ref="F7:H7"/>
    <mergeCell ref="F8:H8"/>
    <mergeCell ref="F9:H9"/>
    <mergeCell ref="F10:H11"/>
    <mergeCell ref="D15:F15"/>
    <mergeCell ref="D37:F37"/>
    <mergeCell ref="D24:F24"/>
    <mergeCell ref="D31:F31"/>
    <mergeCell ref="D30:F30"/>
    <mergeCell ref="D33:F35"/>
  </mergeCells>
  <pageMargins left="0.7" right="0.7" top="0.75" bottom="0.75" header="0.3" footer="0.3"/>
  <pageSetup paperSize="9" scale="65" orientation="landscape" r:id="rId1"/>
  <rowBreaks count="3" manualBreakCount="3">
    <brk id="12" max="8" man="1"/>
    <brk id="19" max="8" man="1"/>
    <brk id="27"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95"/>
  <sheetViews>
    <sheetView showGridLines="0" showRowColHeaders="0" zoomScaleNormal="100" workbookViewId="0">
      <selection activeCell="D6" sqref="D6"/>
    </sheetView>
  </sheetViews>
  <sheetFormatPr defaultRowHeight="12.75" x14ac:dyDescent="0.2"/>
  <cols>
    <col min="1" max="1" width="16.140625" style="1" customWidth="1"/>
    <col min="2" max="2" width="12.85546875" style="1" customWidth="1"/>
    <col min="3" max="3" width="14.140625" style="1" customWidth="1"/>
    <col min="4" max="4" width="11.5703125" style="1" customWidth="1"/>
    <col min="5" max="5" width="12.28515625" style="1" customWidth="1"/>
    <col min="6" max="6" width="15.85546875" style="1" customWidth="1"/>
    <col min="7" max="7" width="19.42578125" style="1" customWidth="1"/>
    <col min="8" max="8" width="13.7109375" style="1" customWidth="1"/>
    <col min="9" max="9" width="17.28515625" style="1" customWidth="1"/>
    <col min="10" max="11" width="14.5703125" style="1" customWidth="1"/>
    <col min="12" max="12" width="17.28515625" style="1" customWidth="1"/>
    <col min="13" max="13" width="9.140625" style="1"/>
    <col min="14" max="14" width="15.85546875" style="1" customWidth="1"/>
    <col min="15" max="16384" width="9.140625" style="1"/>
  </cols>
  <sheetData>
    <row r="1" spans="1:14" x14ac:dyDescent="0.2">
      <c r="A1" s="152"/>
      <c r="B1" s="152"/>
      <c r="C1" s="152"/>
      <c r="D1" s="152"/>
      <c r="E1" s="152"/>
      <c r="F1" s="152"/>
      <c r="G1" s="152"/>
      <c r="H1" s="152"/>
      <c r="I1" s="152"/>
      <c r="J1" s="152"/>
      <c r="K1" s="152"/>
    </row>
    <row r="2" spans="1:14" ht="40.5" customHeight="1" x14ac:dyDescent="0.2">
      <c r="A2" s="125" t="s">
        <v>146</v>
      </c>
      <c r="B2" s="153"/>
      <c r="C2" s="153"/>
      <c r="D2" s="153"/>
      <c r="E2" s="153"/>
      <c r="F2" s="153"/>
      <c r="G2" s="153"/>
      <c r="H2" s="153"/>
      <c r="I2" s="153"/>
      <c r="J2" s="153"/>
      <c r="K2" s="153"/>
    </row>
    <row r="3" spans="1:14" ht="30.75" customHeight="1" x14ac:dyDescent="0.2">
      <c r="A3" s="81" t="s">
        <v>182</v>
      </c>
      <c r="B3" s="152"/>
      <c r="C3" s="152"/>
      <c r="D3" s="152"/>
      <c r="E3" s="152"/>
      <c r="F3" s="152"/>
      <c r="G3" s="152"/>
      <c r="H3" s="152"/>
      <c r="I3" s="152"/>
      <c r="J3" s="152"/>
      <c r="K3" s="152"/>
    </row>
    <row r="4" spans="1:14" ht="12.75" hidden="1" customHeight="1" x14ac:dyDescent="0.2">
      <c r="A4" s="104" t="s">
        <v>177</v>
      </c>
      <c r="B4" s="152"/>
      <c r="C4" s="152"/>
      <c r="D4" s="152"/>
      <c r="E4" s="152"/>
      <c r="F4" s="152"/>
      <c r="G4" s="152"/>
      <c r="H4" s="152"/>
      <c r="I4" s="152"/>
      <c r="J4" s="152"/>
      <c r="K4" s="152"/>
    </row>
    <row r="5" spans="1:14" ht="69" customHeight="1" x14ac:dyDescent="0.2">
      <c r="A5" s="84"/>
      <c r="B5" s="84" t="s">
        <v>216</v>
      </c>
      <c r="C5" s="84" t="s">
        <v>217</v>
      </c>
      <c r="D5" s="84" t="s">
        <v>218</v>
      </c>
      <c r="E5" s="84" t="s">
        <v>178</v>
      </c>
      <c r="F5" s="84" t="s">
        <v>179</v>
      </c>
      <c r="G5" s="84" t="s">
        <v>0</v>
      </c>
      <c r="H5" s="154" t="s">
        <v>180</v>
      </c>
      <c r="I5" s="84" t="s">
        <v>0</v>
      </c>
      <c r="J5" s="154" t="s">
        <v>181</v>
      </c>
      <c r="K5" s="154" t="s">
        <v>0</v>
      </c>
      <c r="L5" s="154" t="s">
        <v>252</v>
      </c>
      <c r="M5" s="154" t="s">
        <v>253</v>
      </c>
      <c r="N5" s="154" t="s">
        <v>254</v>
      </c>
    </row>
    <row r="6" spans="1:14" ht="33.75" customHeight="1" x14ac:dyDescent="0.2">
      <c r="A6" s="139">
        <v>0</v>
      </c>
      <c r="B6" s="132">
        <f>1/POWER(1+D6,A6)</f>
        <v>1</v>
      </c>
      <c r="C6" s="132">
        <v>1</v>
      </c>
      <c r="D6" s="180">
        <v>3.5000000000000003E-2</v>
      </c>
      <c r="E6" s="69" t="s">
        <v>24</v>
      </c>
      <c r="F6" s="155">
        <v>1</v>
      </c>
      <c r="G6" s="216" t="s">
        <v>273</v>
      </c>
      <c r="H6" s="155">
        <v>0.92800000000000005</v>
      </c>
      <c r="I6" s="209" t="s">
        <v>266</v>
      </c>
      <c r="J6" s="163">
        <v>1</v>
      </c>
      <c r="K6" s="221" t="s">
        <v>274</v>
      </c>
      <c r="L6" s="163">
        <f>POWER((1+M6),-1)</f>
        <v>0.97560975609756106</v>
      </c>
      <c r="M6" s="181">
        <v>2.5000000000000001E-2</v>
      </c>
      <c r="N6" s="220" t="s">
        <v>256</v>
      </c>
    </row>
    <row r="7" spans="1:14" ht="15" customHeight="1" x14ac:dyDescent="0.2">
      <c r="A7" s="139">
        <v>1</v>
      </c>
      <c r="B7" s="132">
        <f>1/POWER(1+D6,A7)</f>
        <v>0.96618357487922713</v>
      </c>
      <c r="C7" s="132">
        <f>C6+B7</f>
        <v>1.9661835748792271</v>
      </c>
      <c r="D7" s="218" t="s">
        <v>248</v>
      </c>
      <c r="E7" s="69" t="s">
        <v>21</v>
      </c>
      <c r="F7" s="155">
        <v>1.077</v>
      </c>
      <c r="G7" s="216"/>
      <c r="H7" s="155">
        <v>1</v>
      </c>
      <c r="I7" s="209"/>
      <c r="J7" s="163">
        <v>1.02</v>
      </c>
      <c r="K7" s="222"/>
      <c r="L7" s="163">
        <f>POWER((1+M6),A6)</f>
        <v>1</v>
      </c>
      <c r="N7" s="219"/>
    </row>
    <row r="8" spans="1:14" ht="15" x14ac:dyDescent="0.2">
      <c r="A8" s="139">
        <v>2</v>
      </c>
      <c r="B8" s="132">
        <f>1/POWER(1+D6,A8)</f>
        <v>0.93351070036640305</v>
      </c>
      <c r="C8" s="132">
        <f t="shared" ref="C8:C71" si="0">C7+B8</f>
        <v>2.8996942752456301</v>
      </c>
      <c r="D8" s="219"/>
      <c r="E8" s="69" t="s">
        <v>247</v>
      </c>
      <c r="F8" s="155">
        <v>1.32</v>
      </c>
      <c r="G8" s="216"/>
      <c r="H8" s="155">
        <v>1.06</v>
      </c>
      <c r="I8" s="209"/>
      <c r="J8" s="163">
        <v>1.21</v>
      </c>
      <c r="K8" s="222"/>
      <c r="L8" s="163">
        <f>POWER((1+M6),6)</f>
        <v>1.1596934182128902</v>
      </c>
      <c r="N8" s="219"/>
    </row>
    <row r="9" spans="1:14" ht="15" x14ac:dyDescent="0.2">
      <c r="A9" s="139">
        <v>3</v>
      </c>
      <c r="B9" s="132">
        <f>1/POWER(1+D6,A9)</f>
        <v>0.90194270566802237</v>
      </c>
      <c r="C9" s="132">
        <f t="shared" si="0"/>
        <v>3.8016369809136523</v>
      </c>
      <c r="D9" s="219"/>
      <c r="E9" s="69" t="s">
        <v>269</v>
      </c>
      <c r="F9" s="155">
        <v>1.37</v>
      </c>
      <c r="G9" s="216"/>
      <c r="H9" s="155">
        <v>1.07</v>
      </c>
      <c r="I9" s="209"/>
      <c r="J9" s="163">
        <v>1.25</v>
      </c>
      <c r="K9" s="222"/>
      <c r="L9" s="163">
        <f>POWER((1+M6),7)</f>
        <v>1.1886857536682125</v>
      </c>
      <c r="N9" s="219"/>
    </row>
    <row r="10" spans="1:14" ht="15" x14ac:dyDescent="0.2">
      <c r="A10" s="139">
        <v>4</v>
      </c>
      <c r="B10" s="132">
        <f>1/POWER(1+D6,A10)</f>
        <v>0.87144222769857238</v>
      </c>
      <c r="C10" s="132">
        <f t="shared" si="0"/>
        <v>4.6730792086122248</v>
      </c>
      <c r="D10" s="219"/>
      <c r="E10" s="69" t="s">
        <v>267</v>
      </c>
      <c r="F10" s="155">
        <v>1.41</v>
      </c>
      <c r="G10" s="216"/>
      <c r="H10" s="155">
        <v>1.07</v>
      </c>
      <c r="I10" s="209"/>
      <c r="J10" s="163">
        <f>J9*1.02</f>
        <v>1.2749999999999999</v>
      </c>
      <c r="K10" s="222"/>
      <c r="L10" s="163">
        <f>POWER((1+M6),8)</f>
        <v>1.2184028975099177</v>
      </c>
      <c r="N10" s="219"/>
    </row>
    <row r="11" spans="1:14" ht="15" x14ac:dyDescent="0.2">
      <c r="A11" s="139">
        <v>5</v>
      </c>
      <c r="B11" s="132">
        <f>1/POWER(1+D6,A11)</f>
        <v>0.84197316685852419</v>
      </c>
      <c r="C11" s="132">
        <f t="shared" si="0"/>
        <v>5.5150523754707486</v>
      </c>
      <c r="D11" s="219"/>
      <c r="E11" s="69" t="s">
        <v>270</v>
      </c>
      <c r="F11" s="155">
        <v>1.44</v>
      </c>
      <c r="G11" s="216"/>
      <c r="H11" s="155">
        <v>1.08</v>
      </c>
      <c r="I11" s="209"/>
      <c r="J11" s="163">
        <f>J10*1.02</f>
        <v>1.3005</v>
      </c>
      <c r="K11" s="222"/>
      <c r="L11" s="163">
        <f>POWER((1+M6),9)</f>
        <v>1.2488629699476654</v>
      </c>
      <c r="N11" s="219"/>
    </row>
    <row r="12" spans="1:14" ht="15" x14ac:dyDescent="0.2">
      <c r="A12" s="139">
        <v>6</v>
      </c>
      <c r="B12" s="132">
        <f>1/POWER(1+D6,A12)</f>
        <v>0.81350064430775282</v>
      </c>
      <c r="C12" s="132">
        <f t="shared" si="0"/>
        <v>6.3285530197785018</v>
      </c>
      <c r="D12" s="219"/>
      <c r="E12" s="69" t="s">
        <v>268</v>
      </c>
      <c r="F12" s="155">
        <v>1.47</v>
      </c>
      <c r="G12" s="216"/>
      <c r="H12" s="155">
        <v>1.08</v>
      </c>
      <c r="I12" s="210"/>
      <c r="J12" s="163">
        <f>J11*1.02</f>
        <v>1.3265100000000001</v>
      </c>
      <c r="K12" s="222"/>
      <c r="L12" s="163">
        <f>POWER((1+M6),10)</f>
        <v>1.2800845441963571</v>
      </c>
      <c r="N12" s="219"/>
    </row>
    <row r="13" spans="1:14" ht="15" x14ac:dyDescent="0.2">
      <c r="A13" s="139">
        <v>7</v>
      </c>
      <c r="B13" s="132">
        <f>1/POWER(1+D6,A13)</f>
        <v>0.78599096068381913</v>
      </c>
      <c r="C13" s="132">
        <f t="shared" si="0"/>
        <v>7.1145439804623205</v>
      </c>
      <c r="D13" s="219"/>
      <c r="E13" s="69" t="s">
        <v>271</v>
      </c>
      <c r="F13" s="155" t="s">
        <v>272</v>
      </c>
      <c r="G13" s="216"/>
      <c r="H13" s="155">
        <v>1.0900000000000001</v>
      </c>
      <c r="I13" s="210"/>
      <c r="J13" s="163">
        <f>J12*1.02</f>
        <v>1.3530402000000001</v>
      </c>
      <c r="K13" s="222"/>
      <c r="L13" s="163">
        <f>POWER((1+M6),11)</f>
        <v>1.312086657801266</v>
      </c>
      <c r="N13" s="219"/>
    </row>
    <row r="14" spans="1:14" ht="15" x14ac:dyDescent="0.2">
      <c r="A14" s="139">
        <v>8</v>
      </c>
      <c r="B14" s="132">
        <f>1/POWER(1+D6,A14)</f>
        <v>0.75941155621625056</v>
      </c>
      <c r="C14" s="132">
        <f t="shared" si="0"/>
        <v>7.8739555366785714</v>
      </c>
      <c r="D14" s="219"/>
      <c r="E14" s="152"/>
      <c r="F14" s="152"/>
      <c r="G14" s="216"/>
      <c r="H14" s="152"/>
      <c r="I14" s="199"/>
      <c r="J14" s="152"/>
      <c r="K14" s="222"/>
      <c r="N14" s="219"/>
    </row>
    <row r="15" spans="1:14" ht="15" x14ac:dyDescent="0.2">
      <c r="A15" s="139">
        <v>9</v>
      </c>
      <c r="B15" s="132">
        <f>1/POWER(1+D6,A15)</f>
        <v>0.73373097218961414</v>
      </c>
      <c r="C15" s="132">
        <f t="shared" si="0"/>
        <v>8.607686508868186</v>
      </c>
      <c r="D15" s="219"/>
      <c r="E15" s="152"/>
      <c r="F15" s="152"/>
      <c r="G15" s="217"/>
      <c r="H15" s="152"/>
      <c r="I15" s="199"/>
      <c r="J15" s="152"/>
      <c r="K15" s="222"/>
      <c r="N15" s="1" t="s">
        <v>255</v>
      </c>
    </row>
    <row r="16" spans="1:14" ht="15" x14ac:dyDescent="0.2">
      <c r="A16" s="139">
        <v>10</v>
      </c>
      <c r="B16" s="132">
        <f>1/POWER(1+D6,A16)</f>
        <v>0.70891881370977217</v>
      </c>
      <c r="C16" s="132">
        <f t="shared" si="0"/>
        <v>9.3166053225779581</v>
      </c>
      <c r="D16" s="217"/>
      <c r="E16" s="152"/>
      <c r="F16" s="152"/>
      <c r="G16" s="217"/>
      <c r="H16" s="152"/>
      <c r="I16" s="156"/>
      <c r="J16" s="152"/>
      <c r="K16" s="217"/>
    </row>
    <row r="17" spans="1:11" ht="15" x14ac:dyDescent="0.2">
      <c r="A17" s="139">
        <v>11</v>
      </c>
      <c r="B17" s="132">
        <f>1/POWER(1+D6,A17)</f>
        <v>0.68494571372924851</v>
      </c>
      <c r="C17" s="132">
        <f t="shared" si="0"/>
        <v>10.001551036307207</v>
      </c>
      <c r="D17" s="217"/>
      <c r="E17" s="152"/>
      <c r="F17" s="152"/>
      <c r="G17" s="217"/>
      <c r="H17" s="152"/>
      <c r="I17" s="152"/>
      <c r="J17" s="152"/>
      <c r="K17" s="217"/>
    </row>
    <row r="18" spans="1:11" ht="15" x14ac:dyDescent="0.2">
      <c r="A18" s="139">
        <v>12</v>
      </c>
      <c r="B18" s="132">
        <f>1/POWER(1+D6,A18)</f>
        <v>0.66178329828912896</v>
      </c>
      <c r="C18" s="132">
        <f t="shared" si="0"/>
        <v>10.663334334596335</v>
      </c>
      <c r="D18" s="217"/>
      <c r="E18" s="152"/>
      <c r="F18" s="152"/>
      <c r="G18" s="217"/>
      <c r="H18" s="152"/>
      <c r="I18" s="152"/>
      <c r="J18" s="152"/>
      <c r="K18" s="152"/>
    </row>
    <row r="19" spans="1:11" ht="15" x14ac:dyDescent="0.2">
      <c r="A19" s="139">
        <v>13</v>
      </c>
      <c r="B19" s="132">
        <f>1/POWER(1+D6,A19)</f>
        <v>0.63940415293635666</v>
      </c>
      <c r="C19" s="132">
        <f t="shared" si="0"/>
        <v>11.302738487532691</v>
      </c>
      <c r="D19" s="217"/>
      <c r="E19" s="152"/>
      <c r="F19" s="152"/>
      <c r="G19" s="152"/>
      <c r="H19" s="152"/>
      <c r="I19" s="152"/>
      <c r="J19" s="152"/>
      <c r="K19" s="152"/>
    </row>
    <row r="20" spans="1:11" ht="15" x14ac:dyDescent="0.2">
      <c r="A20" s="139">
        <v>14</v>
      </c>
      <c r="B20" s="132">
        <f>1/POWER(1+D6,A20)</f>
        <v>0.61778179027667302</v>
      </c>
      <c r="C20" s="132">
        <f t="shared" si="0"/>
        <v>11.920520277809365</v>
      </c>
      <c r="D20" s="217"/>
      <c r="E20" s="152"/>
      <c r="F20" s="152"/>
      <c r="G20" s="152"/>
      <c r="H20" s="152"/>
      <c r="I20" s="152"/>
      <c r="J20" s="152"/>
      <c r="K20" s="152"/>
    </row>
    <row r="21" spans="1:11" ht="15" x14ac:dyDescent="0.2">
      <c r="A21" s="139">
        <v>15</v>
      </c>
      <c r="B21" s="132">
        <f>1/POWER(1+D6,A21)</f>
        <v>0.59689061862480497</v>
      </c>
      <c r="C21" s="132">
        <f t="shared" si="0"/>
        <v>12.517410896434169</v>
      </c>
      <c r="D21" s="217"/>
      <c r="E21" s="152"/>
      <c r="F21" s="152"/>
      <c r="G21" s="152"/>
      <c r="H21" s="152"/>
      <c r="I21" s="152"/>
      <c r="J21" s="152"/>
      <c r="K21" s="152"/>
    </row>
    <row r="22" spans="1:11" ht="15" x14ac:dyDescent="0.2">
      <c r="A22" s="139">
        <v>16</v>
      </c>
      <c r="B22" s="132">
        <f>1/POWER(1+D6,A22)</f>
        <v>0.57670591171478747</v>
      </c>
      <c r="C22" s="132">
        <f t="shared" si="0"/>
        <v>13.094116808148957</v>
      </c>
      <c r="D22" s="217"/>
      <c r="E22" s="152"/>
      <c r="F22" s="152"/>
      <c r="G22" s="152"/>
      <c r="H22" s="152"/>
      <c r="I22" s="152"/>
      <c r="J22" s="152"/>
      <c r="K22" s="152"/>
    </row>
    <row r="23" spans="1:11" ht="15" x14ac:dyDescent="0.2">
      <c r="A23" s="139">
        <v>17</v>
      </c>
      <c r="B23" s="132">
        <f>1/POWER(1+D6,A23)</f>
        <v>0.55720377943457733</v>
      </c>
      <c r="C23" s="132">
        <f t="shared" si="0"/>
        <v>13.651320587583534</v>
      </c>
      <c r="D23" s="217"/>
      <c r="E23" s="152"/>
      <c r="F23" s="152"/>
      <c r="G23" s="152"/>
      <c r="H23" s="152"/>
      <c r="I23" s="152"/>
      <c r="J23" s="152"/>
      <c r="K23" s="152"/>
    </row>
    <row r="24" spans="1:11" ht="15" x14ac:dyDescent="0.2">
      <c r="A24" s="139">
        <v>18</v>
      </c>
      <c r="B24" s="132">
        <f>1/POWER(1+D6,A24)</f>
        <v>0.53836113955031628</v>
      </c>
      <c r="C24" s="132">
        <f t="shared" si="0"/>
        <v>14.18968172713385</v>
      </c>
      <c r="D24" s="152"/>
      <c r="E24" s="152"/>
      <c r="F24" s="152"/>
      <c r="G24" s="152"/>
      <c r="H24" s="152"/>
      <c r="I24" s="152"/>
      <c r="J24" s="152"/>
      <c r="K24" s="152"/>
    </row>
    <row r="25" spans="1:11" ht="15" x14ac:dyDescent="0.2">
      <c r="A25" s="139">
        <v>19</v>
      </c>
      <c r="B25" s="132">
        <f>1/POWER(1+D6,A25)</f>
        <v>0.52015569038677911</v>
      </c>
      <c r="C25" s="132">
        <f t="shared" si="0"/>
        <v>14.70983741752063</v>
      </c>
      <c r="D25" s="152"/>
      <c r="E25" s="152"/>
      <c r="F25" s="152"/>
      <c r="G25" s="152"/>
      <c r="H25" s="152"/>
      <c r="I25" s="152"/>
      <c r="J25" s="152"/>
      <c r="K25" s="152"/>
    </row>
    <row r="26" spans="1:11" ht="15" x14ac:dyDescent="0.2">
      <c r="A26" s="139">
        <v>20</v>
      </c>
      <c r="B26" s="132">
        <f>1/POWER(1+D6,A26)</f>
        <v>0.50256588443167061</v>
      </c>
      <c r="C26" s="132">
        <f t="shared" si="0"/>
        <v>15.2124033019523</v>
      </c>
      <c r="D26" s="152"/>
      <c r="E26" s="152"/>
      <c r="F26" s="152"/>
      <c r="G26" s="152"/>
      <c r="H26" s="152"/>
      <c r="I26" s="152"/>
      <c r="J26" s="152"/>
      <c r="K26" s="152"/>
    </row>
    <row r="27" spans="1:11" ht="15" x14ac:dyDescent="0.2">
      <c r="A27" s="139">
        <v>21</v>
      </c>
      <c r="B27" s="132">
        <f>1/POWER(1+D6,A27)</f>
        <v>0.48557090283253213</v>
      </c>
      <c r="C27" s="132">
        <f t="shared" si="0"/>
        <v>15.697974204784831</v>
      </c>
      <c r="D27" s="152"/>
      <c r="E27" s="152"/>
      <c r="F27" s="152"/>
      <c r="G27" s="152"/>
      <c r="H27" s="152"/>
      <c r="I27" s="152"/>
      <c r="J27" s="152"/>
      <c r="K27" s="152"/>
    </row>
    <row r="28" spans="1:11" ht="15" x14ac:dyDescent="0.2">
      <c r="A28" s="139">
        <v>22</v>
      </c>
      <c r="B28" s="132">
        <f>1/POWER(1+D6,A28)</f>
        <v>0.46915063075606966</v>
      </c>
      <c r="C28" s="132">
        <f t="shared" si="0"/>
        <v>16.1671248355409</v>
      </c>
      <c r="D28" s="152"/>
      <c r="E28" s="152"/>
      <c r="F28" s="152"/>
      <c r="G28" s="152"/>
      <c r="H28" s="152"/>
      <c r="I28" s="152"/>
      <c r="J28" s="152"/>
      <c r="K28" s="152"/>
    </row>
    <row r="29" spans="1:11" ht="15" x14ac:dyDescent="0.2">
      <c r="A29" s="139">
        <v>23</v>
      </c>
      <c r="B29" s="132">
        <f>1/POWER(1+D6,A29)</f>
        <v>0.45328563358074364</v>
      </c>
      <c r="C29" s="132">
        <f t="shared" si="0"/>
        <v>16.620410469121644</v>
      </c>
      <c r="D29" s="152"/>
      <c r="E29" s="152"/>
      <c r="F29" s="152"/>
      <c r="G29" s="152"/>
      <c r="H29" s="152"/>
      <c r="I29" s="152"/>
      <c r="J29" s="152"/>
      <c r="K29" s="152"/>
    </row>
    <row r="30" spans="1:11" ht="15" x14ac:dyDescent="0.2">
      <c r="A30" s="139">
        <v>24</v>
      </c>
      <c r="B30" s="132">
        <f>1/POWER(1+D6,A30)</f>
        <v>0.43795713389443841</v>
      </c>
      <c r="C30" s="132">
        <f t="shared" si="0"/>
        <v>17.058367603016084</v>
      </c>
      <c r="D30" s="152"/>
      <c r="E30" s="152"/>
      <c r="F30" s="152"/>
      <c r="G30" s="152"/>
      <c r="H30" s="152"/>
      <c r="I30" s="152"/>
      <c r="J30" s="152"/>
      <c r="K30" s="152"/>
    </row>
    <row r="31" spans="1:11" ht="15" x14ac:dyDescent="0.2">
      <c r="A31" s="139">
        <v>25</v>
      </c>
      <c r="B31" s="132">
        <f>1/POWER(1+D6,A31)</f>
        <v>0.42314698926998884</v>
      </c>
      <c r="C31" s="132">
        <f t="shared" si="0"/>
        <v>17.481514592286072</v>
      </c>
      <c r="D31" s="152"/>
      <c r="E31" s="152"/>
      <c r="F31" s="152"/>
      <c r="G31" s="152"/>
      <c r="H31" s="152"/>
      <c r="I31" s="152"/>
      <c r="J31" s="152"/>
      <c r="K31" s="152"/>
    </row>
    <row r="32" spans="1:11" ht="15" x14ac:dyDescent="0.2">
      <c r="A32" s="139">
        <v>26</v>
      </c>
      <c r="B32" s="132">
        <f>1/POWER(1+D6,A32)</f>
        <v>0.40883767079225974</v>
      </c>
      <c r="C32" s="132">
        <f t="shared" si="0"/>
        <v>17.890352263078331</v>
      </c>
      <c r="D32" s="152"/>
      <c r="E32" s="152"/>
      <c r="F32" s="152"/>
      <c r="G32" s="152"/>
      <c r="H32" s="152"/>
      <c r="I32" s="152"/>
      <c r="J32" s="152"/>
      <c r="K32" s="152"/>
    </row>
    <row r="33" spans="1:11" ht="15" x14ac:dyDescent="0.2">
      <c r="A33" s="139">
        <v>27</v>
      </c>
      <c r="B33" s="132">
        <f>1/POWER(1+D6,A33)</f>
        <v>0.39501224231136206</v>
      </c>
      <c r="C33" s="132">
        <f t="shared" si="0"/>
        <v>18.285364505389694</v>
      </c>
      <c r="D33" s="152"/>
      <c r="E33" s="152"/>
      <c r="F33" s="152"/>
      <c r="G33" s="152"/>
      <c r="H33" s="152"/>
      <c r="I33" s="152"/>
      <c r="J33" s="152"/>
      <c r="K33" s="152"/>
    </row>
    <row r="34" spans="1:11" ht="15" x14ac:dyDescent="0.2">
      <c r="A34" s="139">
        <v>28</v>
      </c>
      <c r="B34" s="132">
        <f>1/POWER(1+D6,A34)</f>
        <v>0.38165434039745127</v>
      </c>
      <c r="C34" s="132">
        <f t="shared" si="0"/>
        <v>18.667018845787144</v>
      </c>
      <c r="D34" s="152"/>
      <c r="E34" s="152"/>
      <c r="F34" s="152"/>
      <c r="G34" s="152"/>
      <c r="H34" s="152"/>
      <c r="I34" s="152"/>
      <c r="J34" s="152"/>
      <c r="K34" s="152"/>
    </row>
    <row r="35" spans="1:11" ht="15" x14ac:dyDescent="0.2">
      <c r="A35" s="139">
        <v>29</v>
      </c>
      <c r="B35" s="132">
        <f>1/POWER(1+D6,A35)</f>
        <v>0.36874815497338298</v>
      </c>
      <c r="C35" s="132">
        <f t="shared" si="0"/>
        <v>19.035767000760526</v>
      </c>
      <c r="D35" s="152"/>
      <c r="E35" s="152"/>
      <c r="F35" s="152"/>
      <c r="G35" s="152"/>
      <c r="H35" s="152"/>
      <c r="I35" s="152"/>
      <c r="J35" s="152"/>
      <c r="K35" s="152"/>
    </row>
    <row r="36" spans="1:11" ht="15" x14ac:dyDescent="0.2">
      <c r="A36" s="139">
        <v>30</v>
      </c>
      <c r="B36" s="132">
        <f>1/POWER(1+D6,A36)</f>
        <v>0.35627841060230236</v>
      </c>
      <c r="C36" s="132">
        <f t="shared" si="0"/>
        <v>19.39204541136283</v>
      </c>
      <c r="D36" s="152"/>
      <c r="E36" s="152"/>
      <c r="F36" s="152"/>
      <c r="G36" s="152"/>
      <c r="H36" s="152"/>
      <c r="I36" s="152"/>
      <c r="J36" s="152"/>
      <c r="K36" s="152"/>
    </row>
    <row r="37" spans="1:11" ht="15" x14ac:dyDescent="0.2">
      <c r="A37" s="139">
        <v>31</v>
      </c>
      <c r="B37" s="132">
        <f>1/POWER(1+D6,A37)</f>
        <v>0.34423034840802164</v>
      </c>
      <c r="C37" s="132">
        <f t="shared" si="0"/>
        <v>19.736275759770852</v>
      </c>
      <c r="D37" s="152"/>
      <c r="E37" s="152"/>
      <c r="F37" s="152"/>
      <c r="G37" s="152"/>
      <c r="H37" s="152"/>
      <c r="I37" s="152"/>
      <c r="J37" s="152"/>
      <c r="K37" s="152"/>
    </row>
    <row r="38" spans="1:11" ht="15" x14ac:dyDescent="0.2">
      <c r="A38" s="139">
        <v>32</v>
      </c>
      <c r="B38" s="132">
        <f>1/POWER(1+D6,A38)</f>
        <v>0.33258970860678427</v>
      </c>
      <c r="C38" s="132">
        <f t="shared" si="0"/>
        <v>20.068865468377634</v>
      </c>
      <c r="D38" s="152"/>
      <c r="E38" s="152"/>
      <c r="F38" s="152"/>
      <c r="G38" s="152"/>
      <c r="H38" s="152"/>
      <c r="I38" s="152"/>
      <c r="J38" s="152"/>
      <c r="K38" s="152"/>
    </row>
    <row r="39" spans="1:11" ht="15" x14ac:dyDescent="0.2">
      <c r="A39" s="139">
        <v>33</v>
      </c>
      <c r="B39" s="132">
        <f>1/POWER(1+D6,A39)</f>
        <v>0.32134271362974326</v>
      </c>
      <c r="C39" s="132">
        <f t="shared" si="0"/>
        <v>20.390208182007378</v>
      </c>
      <c r="D39" s="152"/>
      <c r="E39" s="152"/>
      <c r="F39" s="152"/>
      <c r="G39" s="152"/>
      <c r="H39" s="152"/>
      <c r="I39" s="152"/>
      <c r="J39" s="152"/>
      <c r="K39" s="152"/>
    </row>
    <row r="40" spans="1:11" ht="15" x14ac:dyDescent="0.2">
      <c r="A40" s="139">
        <v>34</v>
      </c>
      <c r="B40" s="132">
        <f>1/POWER(1+D6,A40)</f>
        <v>0.3104760518161771</v>
      </c>
      <c r="C40" s="132">
        <f t="shared" si="0"/>
        <v>20.700684233823555</v>
      </c>
      <c r="D40" s="152"/>
      <c r="E40" s="152"/>
      <c r="F40" s="152"/>
      <c r="G40" s="152"/>
      <c r="H40" s="152"/>
      <c r="I40" s="152"/>
      <c r="J40" s="152"/>
      <c r="K40" s="152"/>
    </row>
    <row r="41" spans="1:11" ht="15" x14ac:dyDescent="0.2">
      <c r="A41" s="139">
        <v>35</v>
      </c>
      <c r="B41" s="132">
        <f>1/POWER(1+D6,A41)</f>
        <v>0.29997686165814214</v>
      </c>
      <c r="C41" s="132">
        <f t="shared" si="0"/>
        <v>21.000661095481696</v>
      </c>
      <c r="D41" s="152"/>
      <c r="E41" s="152"/>
      <c r="F41" s="152"/>
      <c r="G41" s="152"/>
      <c r="H41" s="152"/>
      <c r="I41" s="152"/>
      <c r="J41" s="152"/>
      <c r="K41" s="152"/>
    </row>
    <row r="42" spans="1:11" ht="15" x14ac:dyDescent="0.2">
      <c r="A42" s="139">
        <v>36</v>
      </c>
      <c r="B42" s="132">
        <f>1/POWER(1+D6,A42)</f>
        <v>0.28983271657791515</v>
      </c>
      <c r="C42" s="132">
        <f t="shared" si="0"/>
        <v>21.290493812059612</v>
      </c>
      <c r="D42" s="157"/>
      <c r="E42" s="152"/>
      <c r="F42" s="152"/>
      <c r="G42" s="152"/>
      <c r="H42" s="152"/>
      <c r="I42" s="152"/>
      <c r="J42" s="152"/>
      <c r="K42" s="152"/>
    </row>
    <row r="43" spans="1:11" ht="15" x14ac:dyDescent="0.2">
      <c r="A43" s="139">
        <v>37</v>
      </c>
      <c r="B43" s="132">
        <f>1/POWER(1+D6,A43)</f>
        <v>0.28003161022020789</v>
      </c>
      <c r="C43" s="132">
        <f t="shared" si="0"/>
        <v>21.570525422279822</v>
      </c>
      <c r="D43" s="157"/>
      <c r="E43" s="152"/>
      <c r="F43" s="152"/>
      <c r="G43" s="152"/>
      <c r="H43" s="152"/>
      <c r="I43" s="152"/>
      <c r="J43" s="152"/>
      <c r="K43" s="152"/>
    </row>
    <row r="44" spans="1:11" ht="15" x14ac:dyDescent="0.2">
      <c r="A44" s="139">
        <v>38</v>
      </c>
      <c r="B44" s="132">
        <f>1/POWER(1+D6,A44)</f>
        <v>0.27056194224174673</v>
      </c>
      <c r="C44" s="132">
        <f t="shared" si="0"/>
        <v>21.84108736452157</v>
      </c>
      <c r="D44" s="157"/>
      <c r="E44" s="152"/>
      <c r="F44" s="152"/>
      <c r="G44" s="152"/>
      <c r="H44" s="152"/>
      <c r="I44" s="152"/>
      <c r="J44" s="152"/>
      <c r="K44" s="152"/>
    </row>
    <row r="45" spans="1:11" ht="15" x14ac:dyDescent="0.2">
      <c r="A45" s="139">
        <v>39</v>
      </c>
      <c r="B45" s="132">
        <f>1/POWER(1+D6,A45)</f>
        <v>0.26141250458139786</v>
      </c>
      <c r="C45" s="132">
        <f t="shared" si="0"/>
        <v>22.102499869102967</v>
      </c>
      <c r="D45" s="157"/>
      <c r="E45" s="152"/>
      <c r="F45" s="152"/>
      <c r="G45" s="152"/>
      <c r="H45" s="152"/>
      <c r="I45" s="152"/>
      <c r="J45" s="152"/>
      <c r="K45" s="152"/>
    </row>
    <row r="46" spans="1:11" ht="15" x14ac:dyDescent="0.2">
      <c r="A46" s="139">
        <v>40</v>
      </c>
      <c r="B46" s="132">
        <f>1/POWER(1+D6,A46)</f>
        <v>0.25257246819458734</v>
      </c>
      <c r="C46" s="132">
        <f t="shared" si="0"/>
        <v>22.355072337297553</v>
      </c>
      <c r="D46" s="157"/>
      <c r="E46" s="152"/>
      <c r="F46" s="152"/>
      <c r="G46" s="152"/>
      <c r="H46" s="152"/>
      <c r="I46" s="152"/>
      <c r="J46" s="152"/>
      <c r="K46" s="152"/>
    </row>
    <row r="47" spans="1:11" ht="15" x14ac:dyDescent="0.2">
      <c r="A47" s="139">
        <v>41</v>
      </c>
      <c r="B47" s="132">
        <f>1/POWER(1+D6,A47)</f>
        <v>0.24403137023631633</v>
      </c>
      <c r="C47" s="132">
        <f t="shared" si="0"/>
        <v>22.599103707533871</v>
      </c>
      <c r="D47" s="158"/>
      <c r="E47" s="152"/>
      <c r="F47" s="152"/>
      <c r="G47" s="152"/>
      <c r="H47" s="152"/>
      <c r="I47" s="152"/>
      <c r="J47" s="152"/>
      <c r="K47" s="152"/>
    </row>
    <row r="48" spans="1:11" ht="15" x14ac:dyDescent="0.2">
      <c r="A48" s="139">
        <v>42</v>
      </c>
      <c r="B48" s="132">
        <f>1/POWER(1+D6,A48)</f>
        <v>0.2357791016776003</v>
      </c>
      <c r="C48" s="132">
        <f t="shared" si="0"/>
        <v>22.834882809211472</v>
      </c>
      <c r="D48" s="157"/>
      <c r="E48" s="152"/>
      <c r="F48" s="152"/>
      <c r="G48" s="152"/>
      <c r="H48" s="152"/>
      <c r="I48" s="152"/>
      <c r="J48" s="152"/>
      <c r="K48" s="152"/>
    </row>
    <row r="49" spans="1:11" ht="15" x14ac:dyDescent="0.2">
      <c r="A49" s="139">
        <v>43</v>
      </c>
      <c r="B49" s="132">
        <f>1/POWER(1+D6,A49)</f>
        <v>0.22780589534067661</v>
      </c>
      <c r="C49" s="132">
        <f t="shared" si="0"/>
        <v>23.062688704552148</v>
      </c>
      <c r="D49" s="157"/>
      <c r="E49" s="152"/>
      <c r="F49" s="152"/>
      <c r="G49" s="152"/>
      <c r="H49" s="152"/>
      <c r="I49" s="152"/>
      <c r="J49" s="152"/>
      <c r="K49" s="152"/>
    </row>
    <row r="50" spans="1:11" ht="15" x14ac:dyDescent="0.2">
      <c r="A50" s="139">
        <v>44</v>
      </c>
      <c r="B50" s="132">
        <f>1/POWER(1+D6,A50)</f>
        <v>0.22010231433881802</v>
      </c>
      <c r="C50" s="132">
        <f t="shared" si="0"/>
        <v>23.282791018890965</v>
      </c>
      <c r="D50" s="157"/>
      <c r="E50" s="152"/>
      <c r="F50" s="152"/>
      <c r="G50" s="152"/>
      <c r="H50" s="152"/>
      <c r="I50" s="152"/>
      <c r="J50" s="152"/>
      <c r="K50" s="152"/>
    </row>
    <row r="51" spans="1:11" ht="15" x14ac:dyDescent="0.2">
      <c r="A51" s="139">
        <v>45</v>
      </c>
      <c r="B51" s="132">
        <f>1/POWER(1+D6,A51)</f>
        <v>0.21265924090707056</v>
      </c>
      <c r="C51" s="132">
        <f t="shared" si="0"/>
        <v>23.495450259798034</v>
      </c>
      <c r="D51" s="157"/>
      <c r="E51" s="152"/>
      <c r="F51" s="152"/>
      <c r="G51" s="152"/>
      <c r="H51" s="152"/>
      <c r="I51" s="152"/>
      <c r="J51" s="152"/>
      <c r="K51" s="152"/>
    </row>
    <row r="52" spans="1:11" ht="15" x14ac:dyDescent="0.2">
      <c r="A52" s="139">
        <v>46</v>
      </c>
      <c r="B52" s="132">
        <f>1/POWER(1+D6,A52)</f>
        <v>0.20546786561069619</v>
      </c>
      <c r="C52" s="132">
        <f t="shared" si="0"/>
        <v>23.70091812540873</v>
      </c>
      <c r="D52" s="157"/>
      <c r="E52" s="152"/>
      <c r="F52" s="152"/>
      <c r="G52" s="152"/>
      <c r="H52" s="152"/>
      <c r="I52" s="152"/>
      <c r="J52" s="152"/>
      <c r="K52" s="152"/>
    </row>
    <row r="53" spans="1:11" ht="15" x14ac:dyDescent="0.2">
      <c r="A53" s="139">
        <v>47</v>
      </c>
      <c r="B53" s="132">
        <f>1/POWER(1+D6,A53)</f>
        <v>0.19851967691854708</v>
      </c>
      <c r="C53" s="132">
        <f t="shared" si="0"/>
        <v>23.899437802327277</v>
      </c>
      <c r="D53" s="157"/>
      <c r="E53" s="152"/>
      <c r="F53" s="152"/>
      <c r="G53" s="152"/>
      <c r="H53" s="152"/>
      <c r="I53" s="152"/>
      <c r="J53" s="152"/>
      <c r="K53" s="152"/>
    </row>
    <row r="54" spans="1:11" ht="15" x14ac:dyDescent="0.2">
      <c r="A54" s="139">
        <v>48</v>
      </c>
      <c r="B54" s="132">
        <f>1/POWER(1+D6,A54)</f>
        <v>0.19180645112903102</v>
      </c>
      <c r="C54" s="132">
        <f t="shared" si="0"/>
        <v>24.09124425345631</v>
      </c>
      <c r="D54" s="157"/>
      <c r="E54" s="152"/>
      <c r="F54" s="152"/>
      <c r="G54" s="152"/>
      <c r="H54" s="152"/>
      <c r="I54" s="152"/>
      <c r="J54" s="152"/>
      <c r="K54" s="152"/>
    </row>
    <row r="55" spans="1:11" ht="15" x14ac:dyDescent="0.2">
      <c r="A55" s="139">
        <v>49</v>
      </c>
      <c r="B55" s="132">
        <f>1/POWER(1+D6,A55)</f>
        <v>0.18532024263674499</v>
      </c>
      <c r="C55" s="132">
        <f t="shared" si="0"/>
        <v>24.276564496093055</v>
      </c>
      <c r="D55" s="157"/>
      <c r="E55" s="152"/>
      <c r="F55" s="152"/>
      <c r="G55" s="152"/>
      <c r="H55" s="152"/>
      <c r="I55" s="152"/>
      <c r="J55" s="152"/>
      <c r="K55" s="152"/>
    </row>
    <row r="56" spans="1:11" ht="15" x14ac:dyDescent="0.2">
      <c r="A56" s="139">
        <v>50</v>
      </c>
      <c r="B56" s="132">
        <f>1/POWER(1+D6,A56)</f>
        <v>0.17905337452825601</v>
      </c>
      <c r="C56" s="132">
        <f t="shared" si="0"/>
        <v>24.45561787062131</v>
      </c>
      <c r="D56" s="157"/>
      <c r="E56" s="152"/>
      <c r="F56" s="152"/>
      <c r="G56" s="152"/>
      <c r="H56" s="152"/>
      <c r="I56" s="152"/>
      <c r="J56" s="152"/>
      <c r="K56" s="152"/>
    </row>
    <row r="57" spans="1:11" ht="15" x14ac:dyDescent="0.2">
      <c r="A57" s="139">
        <v>51</v>
      </c>
      <c r="B57" s="132">
        <f>1/POWER(1+D6,A57)</f>
        <v>0.17299842949589955</v>
      </c>
      <c r="C57" s="132">
        <f t="shared" si="0"/>
        <v>24.628616300117208</v>
      </c>
      <c r="D57" s="152"/>
      <c r="E57" s="152"/>
      <c r="F57" s="152"/>
      <c r="G57" s="152"/>
      <c r="H57" s="152"/>
      <c r="I57" s="152"/>
      <c r="J57" s="152"/>
      <c r="K57" s="152"/>
    </row>
    <row r="58" spans="1:11" ht="15" x14ac:dyDescent="0.2">
      <c r="A58" s="139">
        <v>52</v>
      </c>
      <c r="B58" s="132">
        <f>1/POWER(1+D6,A58)</f>
        <v>0.16714824105884016</v>
      </c>
      <c r="C58" s="132">
        <f t="shared" si="0"/>
        <v>24.795764541176048</v>
      </c>
      <c r="D58" s="152"/>
      <c r="E58" s="152"/>
      <c r="F58" s="152"/>
      <c r="G58" s="152"/>
      <c r="H58" s="152"/>
      <c r="I58" s="152"/>
      <c r="J58" s="152"/>
      <c r="K58" s="152"/>
    </row>
    <row r="59" spans="1:11" ht="15" x14ac:dyDescent="0.2">
      <c r="A59" s="139">
        <v>53</v>
      </c>
      <c r="B59" s="132">
        <f>1/POWER(1+D6,A59)</f>
        <v>0.16149588508100501</v>
      </c>
      <c r="C59" s="132">
        <f t="shared" si="0"/>
        <v>24.957260426257054</v>
      </c>
      <c r="D59" s="152"/>
      <c r="E59" s="152"/>
      <c r="F59" s="152"/>
      <c r="G59" s="152"/>
      <c r="H59" s="152"/>
      <c r="I59" s="152"/>
      <c r="J59" s="152"/>
      <c r="K59" s="152"/>
    </row>
    <row r="60" spans="1:11" ht="15" x14ac:dyDescent="0.2">
      <c r="A60" s="139">
        <v>54</v>
      </c>
      <c r="B60" s="132">
        <f>1/POWER(1+D6,A60)</f>
        <v>0.15603467157585027</v>
      </c>
      <c r="C60" s="132">
        <f t="shared" si="0"/>
        <v>25.113295097832903</v>
      </c>
      <c r="D60" s="152"/>
      <c r="E60" s="152"/>
      <c r="F60" s="152"/>
      <c r="G60" s="152"/>
      <c r="H60" s="152"/>
      <c r="I60" s="152"/>
      <c r="J60" s="152"/>
      <c r="K60" s="152"/>
    </row>
    <row r="61" spans="1:11" ht="15" x14ac:dyDescent="0.2">
      <c r="A61" s="139">
        <v>55</v>
      </c>
      <c r="B61" s="132">
        <f>1/POWER(1+D6,A61)</f>
        <v>0.15075813678826111</v>
      </c>
      <c r="C61" s="132">
        <f t="shared" si="0"/>
        <v>25.264053234621166</v>
      </c>
      <c r="D61" s="152"/>
      <c r="E61" s="152"/>
      <c r="F61" s="152"/>
      <c r="G61" s="152"/>
      <c r="H61" s="152"/>
      <c r="I61" s="152"/>
      <c r="J61" s="152"/>
      <c r="K61" s="152"/>
    </row>
    <row r="62" spans="1:11" ht="15" x14ac:dyDescent="0.2">
      <c r="A62" s="139">
        <v>56</v>
      </c>
      <c r="B62" s="132">
        <f>1/POWER(1+D6,A62)</f>
        <v>0.14566003554421367</v>
      </c>
      <c r="C62" s="132">
        <f t="shared" si="0"/>
        <v>25.40971327016538</v>
      </c>
      <c r="D62" s="152"/>
      <c r="E62" s="152"/>
      <c r="F62" s="152"/>
      <c r="G62" s="152"/>
      <c r="H62" s="152"/>
      <c r="I62" s="152"/>
      <c r="J62" s="152"/>
      <c r="K62" s="152"/>
    </row>
    <row r="63" spans="1:11" ht="15" x14ac:dyDescent="0.2">
      <c r="A63" s="139">
        <v>57</v>
      </c>
      <c r="B63" s="132">
        <f>1/POWER(1+D6,A63)</f>
        <v>0.14073433385914366</v>
      </c>
      <c r="C63" s="132">
        <f t="shared" si="0"/>
        <v>25.550447604024523</v>
      </c>
      <c r="D63" s="152"/>
      <c r="E63" s="152"/>
      <c r="F63" s="152"/>
      <c r="G63" s="152"/>
      <c r="H63" s="152"/>
      <c r="I63" s="152"/>
      <c r="J63" s="152"/>
      <c r="K63" s="152"/>
    </row>
    <row r="64" spans="1:11" ht="15" x14ac:dyDescent="0.2">
      <c r="A64" s="139">
        <v>58</v>
      </c>
      <c r="B64" s="132">
        <f>1/POWER(1+D6,A64)</f>
        <v>0.13597520179627406</v>
      </c>
      <c r="C64" s="132">
        <f t="shared" si="0"/>
        <v>25.686422805820797</v>
      </c>
      <c r="D64" s="152"/>
      <c r="E64" s="152"/>
      <c r="F64" s="152"/>
      <c r="G64" s="152"/>
      <c r="H64" s="152"/>
      <c r="I64" s="152"/>
      <c r="J64" s="152"/>
      <c r="K64" s="152"/>
    </row>
    <row r="65" spans="1:11" ht="15" x14ac:dyDescent="0.2">
      <c r="A65" s="139">
        <v>59</v>
      </c>
      <c r="B65" s="132">
        <f>1/POWER(1+D6,A65)</f>
        <v>0.13137700656644835</v>
      </c>
      <c r="C65" s="132">
        <f t="shared" si="0"/>
        <v>25.817799812387246</v>
      </c>
      <c r="D65" s="152"/>
      <c r="E65" s="152"/>
      <c r="F65" s="152"/>
      <c r="G65" s="152"/>
      <c r="H65" s="152"/>
      <c r="I65" s="152"/>
      <c r="J65" s="152"/>
      <c r="K65" s="152"/>
    </row>
    <row r="66" spans="1:11" ht="15" x14ac:dyDescent="0.2">
      <c r="A66" s="139">
        <v>60</v>
      </c>
      <c r="B66" s="132">
        <f>1/POWER(1+D6,A66)</f>
        <v>0.12693430586130278</v>
      </c>
      <c r="C66" s="132">
        <f t="shared" si="0"/>
        <v>25.944734118248547</v>
      </c>
      <c r="D66" s="152"/>
      <c r="E66" s="152"/>
      <c r="F66" s="152"/>
      <c r="G66" s="152"/>
      <c r="H66" s="152"/>
      <c r="I66" s="152"/>
      <c r="J66" s="152"/>
      <c r="K66" s="152"/>
    </row>
    <row r="67" spans="1:11" ht="15" x14ac:dyDescent="0.2">
      <c r="A67" s="139">
        <v>61</v>
      </c>
      <c r="B67" s="132">
        <f>1/POWER(1+D6,A67)</f>
        <v>0.12264184141188678</v>
      </c>
      <c r="C67" s="132">
        <f t="shared" si="0"/>
        <v>26.067375959660435</v>
      </c>
      <c r="D67" s="152"/>
      <c r="E67" s="152"/>
      <c r="F67" s="152"/>
      <c r="G67" s="152"/>
      <c r="H67" s="152"/>
      <c r="I67" s="152"/>
      <c r="J67" s="152"/>
      <c r="K67" s="152"/>
    </row>
    <row r="68" spans="1:11" ht="15" x14ac:dyDescent="0.2">
      <c r="A68" s="139">
        <v>62</v>
      </c>
      <c r="B68" s="132">
        <f>1/POWER(1+D6,A68)</f>
        <v>0.11849453276510799</v>
      </c>
      <c r="C68" s="132">
        <f t="shared" si="0"/>
        <v>26.185870492425543</v>
      </c>
      <c r="D68" s="152"/>
      <c r="E68" s="152"/>
      <c r="F68" s="152"/>
      <c r="G68" s="152"/>
      <c r="H68" s="152"/>
      <c r="I68" s="152"/>
      <c r="J68" s="152"/>
      <c r="K68" s="152"/>
    </row>
    <row r="69" spans="1:11" ht="15" x14ac:dyDescent="0.2">
      <c r="A69" s="139">
        <v>63</v>
      </c>
      <c r="B69" s="132">
        <f>1/POWER(1+D6,A69)</f>
        <v>0.11448747127063574</v>
      </c>
      <c r="C69" s="132">
        <f t="shared" si="0"/>
        <v>26.300357963696179</v>
      </c>
      <c r="D69" s="152"/>
      <c r="E69" s="152"/>
      <c r="F69" s="152"/>
      <c r="G69" s="152"/>
      <c r="H69" s="152"/>
      <c r="I69" s="152"/>
      <c r="J69" s="152"/>
      <c r="K69" s="152"/>
    </row>
    <row r="70" spans="1:11" ht="15" x14ac:dyDescent="0.2">
      <c r="A70" s="139">
        <v>64</v>
      </c>
      <c r="B70" s="132">
        <f>1/POWER(1+D6,A70)</f>
        <v>0.11061591427114567</v>
      </c>
      <c r="C70" s="132">
        <f t="shared" si="0"/>
        <v>26.410973877967326</v>
      </c>
      <c r="D70" s="152"/>
      <c r="E70" s="152"/>
      <c r="F70" s="152"/>
      <c r="G70" s="152"/>
      <c r="H70" s="152"/>
      <c r="I70" s="152"/>
      <c r="J70" s="152"/>
      <c r="K70" s="152"/>
    </row>
    <row r="71" spans="1:11" ht="15" x14ac:dyDescent="0.2">
      <c r="A71" s="139">
        <v>65</v>
      </c>
      <c r="B71" s="132">
        <f>1/POWER(1+D6,A71)</f>
        <v>0.10687527948902965</v>
      </c>
      <c r="C71" s="132">
        <f t="shared" si="0"/>
        <v>26.517849157456354</v>
      </c>
      <c r="D71" s="152"/>
      <c r="E71" s="152"/>
      <c r="F71" s="152"/>
      <c r="G71" s="152"/>
      <c r="H71" s="152"/>
      <c r="I71" s="152"/>
      <c r="J71" s="152"/>
      <c r="K71" s="152"/>
    </row>
    <row r="72" spans="1:11" ht="15" x14ac:dyDescent="0.2">
      <c r="A72" s="139">
        <v>66</v>
      </c>
      <c r="B72" s="132">
        <f>1/POWER(1+D6,A72)</f>
        <v>0.10326113960292721</v>
      </c>
      <c r="C72" s="132">
        <f t="shared" ref="C72:C87" si="1">C71+B72</f>
        <v>26.621110297059282</v>
      </c>
      <c r="D72" s="152"/>
      <c r="E72" s="152"/>
      <c r="F72" s="152"/>
      <c r="G72" s="152"/>
      <c r="H72" s="152"/>
      <c r="I72" s="152"/>
      <c r="J72" s="152"/>
      <c r="K72" s="152"/>
    </row>
    <row r="73" spans="1:11" ht="15" x14ac:dyDescent="0.2">
      <c r="A73" s="139">
        <v>67</v>
      </c>
      <c r="B73" s="132">
        <f>1/POWER(1+D6,A73)</f>
        <v>9.9769217007659144E-2</v>
      </c>
      <c r="C73" s="132">
        <f t="shared" si="1"/>
        <v>26.72087951406694</v>
      </c>
      <c r="D73" s="152"/>
      <c r="E73" s="152"/>
      <c r="F73" s="152"/>
      <c r="G73" s="152"/>
      <c r="H73" s="152"/>
      <c r="I73" s="152"/>
      <c r="J73" s="152"/>
      <c r="K73" s="152"/>
    </row>
    <row r="74" spans="1:11" ht="15" x14ac:dyDescent="0.2">
      <c r="A74" s="139">
        <v>68</v>
      </c>
      <c r="B74" s="132">
        <f>1/POWER(1+D6,A74)</f>
        <v>9.6395378751361491E-2</v>
      </c>
      <c r="C74" s="132">
        <f t="shared" si="1"/>
        <v>26.8172748928183</v>
      </c>
      <c r="D74" s="152"/>
      <c r="E74" s="152"/>
      <c r="F74" s="152"/>
      <c r="G74" s="152"/>
      <c r="H74" s="152"/>
      <c r="I74" s="152"/>
      <c r="J74" s="152"/>
      <c r="K74" s="152"/>
    </row>
    <row r="75" spans="1:11" ht="15" x14ac:dyDescent="0.2">
      <c r="A75" s="139">
        <v>69</v>
      </c>
      <c r="B75" s="132">
        <f>1/POWER(1+D6,A75)</f>
        <v>9.3135631643827543E-2</v>
      </c>
      <c r="C75" s="132">
        <f t="shared" si="1"/>
        <v>26.910410524462129</v>
      </c>
      <c r="D75" s="152"/>
      <c r="E75" s="152"/>
      <c r="F75" s="152"/>
      <c r="G75" s="152"/>
      <c r="H75" s="152"/>
      <c r="I75" s="152"/>
      <c r="J75" s="152"/>
      <c r="K75" s="152"/>
    </row>
    <row r="76" spans="1:11" ht="15" x14ac:dyDescent="0.2">
      <c r="A76" s="139">
        <v>70</v>
      </c>
      <c r="B76" s="132">
        <f>1/POWER(1+D6,A76)</f>
        <v>8.9986117530268139E-2</v>
      </c>
      <c r="C76" s="132">
        <f t="shared" si="1"/>
        <v>27.000396641992399</v>
      </c>
      <c r="D76" s="152"/>
      <c r="E76" s="152"/>
      <c r="F76" s="152"/>
      <c r="G76" s="152"/>
      <c r="H76" s="152"/>
      <c r="I76" s="152"/>
      <c r="J76" s="152"/>
      <c r="K76" s="152"/>
    </row>
    <row r="77" spans="1:11" ht="15" x14ac:dyDescent="0.2">
      <c r="A77" s="139">
        <v>71</v>
      </c>
      <c r="B77" s="132">
        <f>1/POWER(1+D6,A77)</f>
        <v>8.6943108724896773E-2</v>
      </c>
      <c r="C77" s="132">
        <f t="shared" si="1"/>
        <v>27.087339750717295</v>
      </c>
      <c r="D77" s="152"/>
      <c r="E77" s="152"/>
      <c r="F77" s="152"/>
      <c r="G77" s="152"/>
      <c r="H77" s="152"/>
      <c r="I77" s="152"/>
      <c r="J77" s="152"/>
      <c r="K77" s="152"/>
    </row>
    <row r="78" spans="1:11" ht="15" x14ac:dyDescent="0.2">
      <c r="A78" s="139">
        <v>72</v>
      </c>
      <c r="B78" s="132">
        <f>1/POWER(1+D6,A78)</f>
        <v>8.400300359893409E-2</v>
      </c>
      <c r="C78" s="132">
        <f t="shared" si="1"/>
        <v>27.171342754316228</v>
      </c>
      <c r="D78" s="152"/>
      <c r="E78" s="152"/>
      <c r="F78" s="152"/>
      <c r="G78" s="152"/>
      <c r="H78" s="152"/>
      <c r="I78" s="152"/>
      <c r="J78" s="152"/>
      <c r="K78" s="152"/>
    </row>
    <row r="79" spans="1:11" ht="15" x14ac:dyDescent="0.2">
      <c r="A79" s="139">
        <v>73</v>
      </c>
      <c r="B79" s="132">
        <f>1/POWER(1+D6,A79)</f>
        <v>8.1162322317810731E-2</v>
      </c>
      <c r="C79" s="132">
        <f t="shared" si="1"/>
        <v>27.252505076634041</v>
      </c>
      <c r="D79" s="152"/>
      <c r="E79" s="152"/>
      <c r="F79" s="152"/>
      <c r="G79" s="152"/>
      <c r="H79" s="152"/>
      <c r="I79" s="152"/>
      <c r="J79" s="152"/>
      <c r="K79" s="152"/>
    </row>
    <row r="80" spans="1:11" ht="15" x14ac:dyDescent="0.2">
      <c r="A80" s="139">
        <v>74</v>
      </c>
      <c r="B80" s="132">
        <f>1/POWER(1+D6,A80)</f>
        <v>7.841770272252245E-2</v>
      </c>
      <c r="C80" s="132">
        <f t="shared" si="1"/>
        <v>27.330922779356563</v>
      </c>
      <c r="D80" s="152"/>
      <c r="E80" s="152"/>
      <c r="F80" s="152"/>
      <c r="G80" s="152"/>
      <c r="H80" s="152"/>
      <c r="I80" s="152"/>
      <c r="J80" s="152"/>
      <c r="K80" s="152"/>
    </row>
    <row r="81" spans="1:11" ht="15" x14ac:dyDescent="0.2">
      <c r="A81" s="139">
        <v>75</v>
      </c>
      <c r="B81" s="132">
        <f>1/POWER(1+D6,A81)</f>
        <v>7.5765896350263234E-2</v>
      </c>
      <c r="C81" s="132">
        <f t="shared" si="1"/>
        <v>27.406688675706825</v>
      </c>
      <c r="D81" s="152"/>
      <c r="E81" s="152"/>
      <c r="F81" s="152"/>
      <c r="G81" s="152"/>
      <c r="H81" s="152"/>
      <c r="I81" s="152"/>
      <c r="J81" s="152"/>
      <c r="K81" s="152"/>
    </row>
    <row r="82" spans="1:11" ht="15" x14ac:dyDescent="0.2">
      <c r="A82" s="139">
        <v>76</v>
      </c>
      <c r="B82" s="132">
        <f>1/POWER(1+D6,A82)</f>
        <v>7.3203764589626324E-2</v>
      </c>
      <c r="C82" s="132">
        <f t="shared" si="1"/>
        <v>27.47989244029645</v>
      </c>
      <c r="D82" s="152"/>
      <c r="E82" s="152"/>
      <c r="F82" s="152"/>
      <c r="G82" s="152"/>
      <c r="H82" s="152"/>
      <c r="I82" s="152"/>
      <c r="J82" s="152"/>
      <c r="K82" s="152"/>
    </row>
    <row r="83" spans="1:11" ht="15" x14ac:dyDescent="0.2">
      <c r="A83" s="139">
        <v>77</v>
      </c>
      <c r="B83" s="132">
        <f>1/POWER(1+D6,A83)</f>
        <v>7.0728274965822541E-2</v>
      </c>
      <c r="C83" s="132">
        <f t="shared" si="1"/>
        <v>27.550620715262273</v>
      </c>
      <c r="D83" s="152"/>
      <c r="E83" s="152"/>
      <c r="F83" s="152"/>
      <c r="G83" s="152"/>
      <c r="H83" s="152"/>
      <c r="I83" s="152"/>
      <c r="J83" s="152"/>
      <c r="K83" s="152"/>
    </row>
    <row r="84" spans="1:11" ht="15" x14ac:dyDescent="0.2">
      <c r="A84" s="139">
        <v>78</v>
      </c>
      <c r="B84" s="132">
        <f>1/POWER(1+D6,A84)</f>
        <v>6.8336497551519354E-2</v>
      </c>
      <c r="C84" s="132">
        <f t="shared" si="1"/>
        <v>27.618957212813793</v>
      </c>
      <c r="D84" s="152"/>
      <c r="E84" s="152"/>
      <c r="F84" s="152"/>
      <c r="G84" s="152"/>
      <c r="H84" s="152"/>
      <c r="I84" s="152"/>
      <c r="J84" s="152"/>
      <c r="K84" s="152"/>
    </row>
    <row r="85" spans="1:11" ht="15" x14ac:dyDescent="0.2">
      <c r="A85" s="139">
        <v>79</v>
      </c>
      <c r="B85" s="132">
        <f>1/POWER(1+D6,A85)</f>
        <v>6.6025601499052525E-2</v>
      </c>
      <c r="C85" s="132">
        <f t="shared" si="1"/>
        <v>27.684982814312846</v>
      </c>
      <c r="D85" s="152"/>
      <c r="E85" s="152"/>
      <c r="F85" s="152"/>
      <c r="G85" s="152"/>
      <c r="H85" s="152"/>
      <c r="I85" s="152"/>
      <c r="J85" s="152"/>
      <c r="K85" s="152"/>
    </row>
    <row r="86" spans="1:11" ht="15" x14ac:dyDescent="0.2">
      <c r="A86" s="139">
        <v>80</v>
      </c>
      <c r="B86" s="132">
        <f>1/POWER(1+D6,A86)</f>
        <v>6.3792851689905838E-2</v>
      </c>
      <c r="C86" s="132">
        <f t="shared" si="1"/>
        <v>27.748775666002754</v>
      </c>
      <c r="D86" s="152"/>
      <c r="E86" s="152"/>
      <c r="F86" s="152"/>
      <c r="G86" s="152"/>
      <c r="H86" s="152"/>
      <c r="I86" s="152"/>
      <c r="J86" s="152"/>
      <c r="K86" s="152"/>
    </row>
    <row r="87" spans="1:11" ht="15" x14ac:dyDescent="0.2">
      <c r="A87" s="139">
        <v>81</v>
      </c>
      <c r="B87" s="132">
        <f>1/POWER(1+D6,A87)</f>
        <v>6.1635605497493563E-2</v>
      </c>
      <c r="C87" s="132">
        <f t="shared" si="1"/>
        <v>27.810411271500246</v>
      </c>
      <c r="D87" s="152"/>
      <c r="E87" s="152"/>
      <c r="F87" s="152"/>
      <c r="G87" s="152"/>
      <c r="H87" s="152"/>
      <c r="I87" s="152"/>
      <c r="J87" s="152"/>
      <c r="K87" s="152"/>
    </row>
    <row r="89" spans="1:11" x14ac:dyDescent="0.2">
      <c r="B89" s="133"/>
      <c r="C89" s="134"/>
    </row>
    <row r="90" spans="1:11" x14ac:dyDescent="0.2">
      <c r="B90" s="133"/>
    </row>
    <row r="91" spans="1:11" x14ac:dyDescent="0.2">
      <c r="B91" s="133"/>
    </row>
    <row r="92" spans="1:11" x14ac:dyDescent="0.2">
      <c r="B92" s="133"/>
    </row>
    <row r="93" spans="1:11" x14ac:dyDescent="0.2">
      <c r="B93" s="133"/>
    </row>
    <row r="94" spans="1:11" x14ac:dyDescent="0.2">
      <c r="B94" s="133"/>
    </row>
    <row r="95" spans="1:11" x14ac:dyDescent="0.2">
      <c r="B95" s="133"/>
    </row>
  </sheetData>
  <sheetProtection algorithmName="SHA-512" hashValue="B4Q4RqWF6rlcKRv1uh0RSg9gVeQZpU2pRSXaphe61ulkCu6Ywmql9oN1PEZ01DSE+Jhpep67INiLZrzaacCEDA==" saltValue="hqWBYgSd98PzVB+DvhTyeg==" spinCount="100000" sheet="1" selectLockedCells="1"/>
  <mergeCells count="5">
    <mergeCell ref="G6:G18"/>
    <mergeCell ref="I6:I15"/>
    <mergeCell ref="D7:D23"/>
    <mergeCell ref="N6:N14"/>
    <mergeCell ref="K6:K17"/>
  </mergeCells>
  <phoneticPr fontId="5" type="noConversion"/>
  <pageMargins left="0.75" right="0.75" top="1" bottom="1" header="0.5" footer="0.5"/>
  <pageSetup paperSize="9" scale="8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Welcome</vt:lpstr>
      <vt:lpstr>Data Input</vt:lpstr>
      <vt:lpstr>Results </vt:lpstr>
      <vt:lpstr>Impacts</vt:lpstr>
      <vt:lpstr>National Data</vt:lpstr>
      <vt:lpstr>Social  </vt:lpstr>
      <vt:lpstr>Look Up Tables</vt:lpstr>
      <vt:lpstr>'Data Input'!Print_Area</vt:lpstr>
      <vt:lpstr>Impacts!Print_Area</vt:lpstr>
      <vt:lpstr>'Look Up Tables'!Print_Area</vt:lpstr>
      <vt:lpstr>'National Data'!Print_Area</vt:lpstr>
      <vt:lpstr>'Results '!Print_Area</vt:lpstr>
      <vt:lpstr>'Social  '!Print_Area</vt:lpstr>
      <vt:lpstr>Welcome!Print_Area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Graham Lister</dc:creator>
  <cp:lastModifiedBy>Graham Lister</cp:lastModifiedBy>
  <cp:lastPrinted>2010-04-10T10:06:48Z</cp:lastPrinted>
  <dcterms:created xsi:type="dcterms:W3CDTF">2010-04-07T15:16:50Z</dcterms:created>
  <dcterms:modified xsi:type="dcterms:W3CDTF">2017-06-23T08:37:12Z</dcterms:modified>
</cp:coreProperties>
</file>